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75" yWindow="-75" windowWidth="14430" windowHeight="12855"/>
  </bookViews>
  <sheets>
    <sheet name="prépa-distri-stockage" sheetId="3" r:id="rId1"/>
  </sheets>
  <definedNames>
    <definedName name="_xlnm.Print_Titles" localSheetId="0">'prépa-distri-stockage'!$1:$6</definedName>
    <definedName name="_xlnm.Print_Area" localSheetId="0">'prépa-distri-stockage'!$B$1:$Y$196</definedName>
  </definedNames>
  <calcPr calcId="145621"/>
</workbook>
</file>

<file path=xl/calcChain.xml><?xml version="1.0" encoding="utf-8"?>
<calcChain xmlns="http://schemas.openxmlformats.org/spreadsheetml/2006/main">
  <c r="X186" i="3" l="1"/>
  <c r="G172" i="3"/>
  <c r="G171" i="3"/>
  <c r="U17" i="3" l="1"/>
  <c r="U16" i="3"/>
  <c r="U15" i="3"/>
  <c r="U11" i="3"/>
  <c r="D110" i="3" s="1"/>
  <c r="U1" i="3"/>
  <c r="X13" i="3"/>
  <c r="X4" i="3"/>
  <c r="U169" i="3" l="1"/>
  <c r="U170" i="3"/>
  <c r="L138" i="3"/>
  <c r="X133" i="3"/>
  <c r="X187" i="3"/>
  <c r="D59" i="3"/>
  <c r="L140" i="3"/>
  <c r="L137" i="3"/>
  <c r="I110" i="3"/>
  <c r="AA12" i="3"/>
  <c r="I27" i="3" l="1"/>
  <c r="H114" i="3" l="1"/>
  <c r="G115" i="3" l="1"/>
  <c r="I171" i="3"/>
  <c r="H94" i="3" l="1"/>
  <c r="G95" i="3" s="1"/>
  <c r="U14" i="3"/>
  <c r="H105" i="3" l="1"/>
  <c r="H106" i="3" s="1"/>
  <c r="H115" i="3"/>
  <c r="D100" i="3"/>
  <c r="D70" i="3"/>
  <c r="H72" i="3"/>
  <c r="G73" i="3" s="1"/>
  <c r="H112" i="3"/>
  <c r="H103" i="3"/>
  <c r="H113" i="3"/>
  <c r="D80" i="3"/>
  <c r="H82" i="3"/>
  <c r="G83" i="3" s="1"/>
  <c r="H64" i="3"/>
  <c r="H65" i="3" s="1"/>
  <c r="D90" i="3"/>
  <c r="H92" i="3"/>
  <c r="G93" i="3" s="1"/>
  <c r="H85" i="3"/>
  <c r="H86" i="3" s="1"/>
  <c r="H95" i="3"/>
  <c r="H96" i="3" s="1"/>
  <c r="H63" i="3"/>
  <c r="G64" i="3" s="1"/>
  <c r="H102" i="3"/>
  <c r="G103" i="3" s="1"/>
  <c r="H62" i="3"/>
  <c r="H74" i="3"/>
  <c r="G75" i="3" s="1"/>
  <c r="H83" i="3"/>
  <c r="G84" i="3" s="1"/>
  <c r="H93" i="3"/>
  <c r="G94" i="3" s="1"/>
  <c r="H104" i="3"/>
  <c r="G105" i="3" s="1"/>
  <c r="H73" i="3"/>
  <c r="G74" i="3" s="1"/>
  <c r="H61" i="3"/>
  <c r="G62" i="3" s="1"/>
  <c r="H75" i="3"/>
  <c r="H76" i="3" s="1"/>
  <c r="H84" i="3"/>
  <c r="G85" i="3" s="1"/>
  <c r="G114" i="3" l="1"/>
  <c r="C114" i="3" s="1"/>
  <c r="G104" i="3"/>
  <c r="G113" i="3"/>
  <c r="C113" i="3" s="1"/>
  <c r="C112" i="3"/>
  <c r="H116" i="3"/>
  <c r="C116" i="3" s="1"/>
  <c r="C115" i="3"/>
  <c r="L61" i="3"/>
  <c r="M61" i="3" s="1"/>
  <c r="G63" i="3"/>
  <c r="I100" i="3"/>
  <c r="C103" i="3" s="1"/>
  <c r="I90" i="3"/>
  <c r="I80" i="3"/>
  <c r="I70" i="3"/>
  <c r="I59" i="3"/>
  <c r="I172" i="3"/>
  <c r="I176" i="3" s="1"/>
  <c r="C93" i="3" l="1"/>
  <c r="C96" i="3"/>
  <c r="C92" i="3"/>
  <c r="C95" i="3"/>
  <c r="C94" i="3"/>
  <c r="C106" i="3"/>
  <c r="C105" i="3"/>
  <c r="C104" i="3"/>
  <c r="C102" i="3"/>
  <c r="C86" i="3"/>
  <c r="C84" i="3"/>
  <c r="C83" i="3"/>
  <c r="C85" i="3"/>
  <c r="C82" i="3"/>
  <c r="C64" i="3"/>
  <c r="C63" i="3"/>
  <c r="C62" i="3"/>
  <c r="C61" i="3"/>
  <c r="C65" i="3"/>
  <c r="C74" i="3"/>
  <c r="C76" i="3"/>
  <c r="C72" i="3"/>
  <c r="C75" i="3"/>
  <c r="C73" i="3"/>
  <c r="I188" i="3"/>
  <c r="T188" i="3" l="1"/>
  <c r="T28" i="3"/>
  <c r="I28" i="3" s="1"/>
  <c r="T38" i="3"/>
  <c r="S38" i="3" s="1"/>
  <c r="I39" i="3" s="1"/>
  <c r="I40" i="3" s="1"/>
  <c r="T158" i="3"/>
  <c r="S158" i="3" s="1"/>
  <c r="I158" i="3" s="1"/>
  <c r="T137" i="3"/>
  <c r="T47" i="3"/>
  <c r="T144" i="3"/>
  <c r="I144" i="3" s="1"/>
  <c r="T48" i="3"/>
  <c r="T136" i="3"/>
  <c r="T145" i="3"/>
  <c r="T186" i="3"/>
  <c r="I186" i="3" s="1"/>
  <c r="T62" i="3"/>
  <c r="T146" i="3"/>
  <c r="T187" i="3"/>
  <c r="T152" i="3"/>
  <c r="I151" i="3" s="1"/>
  <c r="T66" i="3"/>
  <c r="I116" i="3" s="1"/>
  <c r="T33" i="3"/>
  <c r="T63" i="3"/>
  <c r="I113" i="3" s="1"/>
  <c r="T138" i="3"/>
  <c r="T147" i="3"/>
  <c r="T86" i="3"/>
  <c r="T27" i="3"/>
  <c r="T34" i="3"/>
  <c r="S34" i="3" s="1"/>
  <c r="I34" i="3" s="1"/>
  <c r="T64" i="3"/>
  <c r="I114" i="3" s="1"/>
  <c r="T140" i="3"/>
  <c r="T53" i="3"/>
  <c r="T65" i="3"/>
  <c r="I115" i="3" s="1"/>
  <c r="T56" i="3"/>
  <c r="I187" i="3"/>
  <c r="I61" i="3" l="1"/>
  <c r="I112" i="3"/>
  <c r="I117" i="3" s="1"/>
  <c r="I102" i="3"/>
  <c r="I92" i="3"/>
  <c r="I72" i="3"/>
  <c r="I82" i="3"/>
  <c r="I190" i="3"/>
  <c r="I159" i="3"/>
  <c r="I145" i="3" l="1"/>
  <c r="I146" i="3"/>
  <c r="I147" i="3"/>
  <c r="I139" i="3"/>
  <c r="I140" i="3"/>
  <c r="I137" i="3"/>
  <c r="I29" i="3"/>
  <c r="I138" i="3"/>
  <c r="S56" i="3"/>
  <c r="I53" i="3" s="1"/>
  <c r="S53" i="3"/>
  <c r="I52" i="3" s="1"/>
  <c r="S48" i="3"/>
  <c r="I47" i="3" s="1"/>
  <c r="S47" i="3"/>
  <c r="I46" i="3" s="1"/>
  <c r="S33" i="3"/>
  <c r="I33" i="3" s="1"/>
  <c r="I124" i="3"/>
  <c r="I148" i="3" l="1"/>
  <c r="I152" i="3" s="1"/>
  <c r="I162" i="3" s="1"/>
  <c r="I35" i="3"/>
  <c r="I54" i="3"/>
  <c r="I48" i="3"/>
  <c r="I94" i="3" l="1"/>
  <c r="I75" i="3"/>
  <c r="I95" i="3" l="1"/>
  <c r="I96" i="3"/>
  <c r="I93" i="3"/>
  <c r="I105" i="3"/>
  <c r="I104" i="3"/>
  <c r="I103" i="3"/>
  <c r="I106" i="3"/>
  <c r="I85" i="3"/>
  <c r="I83" i="3"/>
  <c r="I86" i="3"/>
  <c r="I84" i="3"/>
  <c r="I74" i="3"/>
  <c r="I76" i="3"/>
  <c r="I73" i="3"/>
  <c r="I62" i="3"/>
  <c r="I64" i="3"/>
  <c r="I65" i="3"/>
  <c r="I63" i="3"/>
  <c r="I97" i="3" l="1"/>
  <c r="I77" i="3"/>
  <c r="I107" i="3"/>
  <c r="I87" i="3"/>
  <c r="I66" i="3"/>
  <c r="I120" i="3" l="1"/>
  <c r="I123" i="3" s="1"/>
  <c r="I128" i="3" s="1"/>
  <c r="I193" i="3" s="1"/>
  <c r="H178" i="3" l="1"/>
</calcChain>
</file>

<file path=xl/sharedStrings.xml><?xml version="1.0" encoding="utf-8"?>
<sst xmlns="http://schemas.openxmlformats.org/spreadsheetml/2006/main" count="181" uniqueCount="118">
  <si>
    <t>Contrôles supplémentaires</t>
  </si>
  <si>
    <t xml:space="preserve">Contrôle suppémentaire déplacements compris </t>
  </si>
  <si>
    <t>€ par heure</t>
  </si>
  <si>
    <t>Contrôle suppémentaire au bureau</t>
  </si>
  <si>
    <t>REGION WALLONNE</t>
  </si>
  <si>
    <t xml:space="preserve">Index </t>
  </si>
  <si>
    <t>Montant de base pour un site d'activités</t>
  </si>
  <si>
    <t>utilisé exclusivement pour la production biologique</t>
  </si>
  <si>
    <t>utilisé pour la production biologique et une production non biologique</t>
  </si>
  <si>
    <t>Par site d'activités supplémentaire</t>
  </si>
  <si>
    <t>Points de vente</t>
  </si>
  <si>
    <t>Chiffre d'achats BIO à vendre en VRAC</t>
  </si>
  <si>
    <t>Catégorie</t>
  </si>
  <si>
    <t>Définition catégorie</t>
  </si>
  <si>
    <t>Analyse supplémentaire</t>
  </si>
  <si>
    <t>à charge de l'opérateur</t>
  </si>
  <si>
    <t>Case à cocher</t>
  </si>
  <si>
    <t>CAB</t>
  </si>
  <si>
    <t>valable 2 ans</t>
  </si>
  <si>
    <t>(*) Un coefficient est appliqué au CAB en fonction de la catégorie de l'entreprise (cf tableau ci-dessous)</t>
  </si>
  <si>
    <t>Total intermédiaire</t>
  </si>
  <si>
    <t>nombre d'heures</t>
  </si>
  <si>
    <t>Tarif spécial</t>
  </si>
  <si>
    <t xml:space="preserve">TOTAL HTVA (€) tarif spécial </t>
  </si>
  <si>
    <t>3- Tableau pour le calcul du tarif spécial</t>
  </si>
  <si>
    <t>2- Tableau pour le calcul du tarif concernant les points de vente</t>
  </si>
  <si>
    <t>1- Tableau pour le calcul du tarif concernant les activités de préparation, distribution, stockage</t>
  </si>
  <si>
    <t>Veuillez remplir les cases vertes correspondantes avec "X":</t>
  </si>
  <si>
    <t>Veuillez remplir les cases vertes correpondantes avec "X":</t>
  </si>
  <si>
    <t>Veuillez remplir la case verte correspondante avec "X":</t>
  </si>
  <si>
    <t xml:space="preserve">LISTE DE PRIX POUR LES ENTREPRISES DE PREPARATION, DISTRIBUTION, STOCKAGE ET LES POINTS DE VENTES EN PRODUCTION BIOLOGIQUE  </t>
  </si>
  <si>
    <t>Veuillez indiquer le nombre de sites d'activités supplémentaires dans les cases vertes correpsondantes:</t>
  </si>
  <si>
    <t>Veuillez indiquer le nombre de types d'ingrédients utilisés dans les cases vertes correspondantes:</t>
  </si>
  <si>
    <t>Veuillez indiquez le nombre de types de produits finis biologiques commercialisés dans les cases vertes correspondantes:</t>
  </si>
  <si>
    <t>Nombre de sites supplémentaires</t>
  </si>
  <si>
    <t>Nombre de types d'ingrédients</t>
  </si>
  <si>
    <t>Nombre de produits finis commercialisés</t>
  </si>
  <si>
    <t>-type(s) de produits uniquement en qualité biologique</t>
  </si>
  <si>
    <t>-type(s) de produits en qualité biologique et non biologique</t>
  </si>
  <si>
    <t>-type(s) d'ingrédients uniquement utilisés en qualité biologique</t>
  </si>
  <si>
    <t>-type(s) d'ingrédients utilisés en qualité biologique et non biologique</t>
  </si>
  <si>
    <t>utilisé(s) exclusivement pour la production biologique</t>
  </si>
  <si>
    <t>utilisé(s) pour la production biologique et une production non biologique</t>
  </si>
  <si>
    <t>Point de vente qui commercialise des produits BIO en "vrac"  (non pré-emballés) et les mêmes produits NON-BIO en vrac</t>
  </si>
  <si>
    <t>Point de vente qui commercialise des produits BIO en "vrac" (non pré-emballés) sans commercialiser les même produits NON-BIO en vrac</t>
  </si>
  <si>
    <t>Nombre de sites supplémentaires liés aux points de vente (à ne remplir que si vous n'avez que des points de vente)</t>
  </si>
  <si>
    <t>TOTAL HTVA (€):</t>
  </si>
  <si>
    <t>Par type d'ingrédients utilisés - uniquement applicable aux activités de préparation, à l'exclusion de l'emballage et de l'étiquettage</t>
  </si>
  <si>
    <t>Par entreprise tierce à contrôler, sous-traitant à qui la responsabilité relative à la
production biologique n’a pas été transférée</t>
  </si>
  <si>
    <t>Veuillez indiquer le nombre d'entreprises tierce à contrôlerdans les cases vertes correpsondantes:</t>
  </si>
  <si>
    <t>Par type de produit biologique préparé ou importé - uniquement applicable aux
activités de préparation, y compris l’emballage et l’étiquetage, et d’importation :</t>
  </si>
  <si>
    <t>attention ajouter le point 3.3 lié au 50 % max des points obtenus lié au CAB pour le tarif sur les ingrédients.</t>
  </si>
  <si>
    <t>pour les entreprises de distribution de produits préemballés</t>
  </si>
  <si>
    <t>Par point de vente supplémentaire au-delà du premier</t>
  </si>
  <si>
    <t>indice santé</t>
  </si>
  <si>
    <t>base sept 2021</t>
  </si>
  <si>
    <t>base min. 0,153</t>
  </si>
  <si>
    <t>tranche min 6311,5</t>
  </si>
  <si>
    <t>1ère tranche</t>
  </si>
  <si>
    <t>2eme tranche</t>
  </si>
  <si>
    <t>3eme tranche</t>
  </si>
  <si>
    <t>4eme tranche</t>
  </si>
  <si>
    <t>- jusqu'à</t>
  </si>
  <si>
    <t xml:space="preserve">- comprise entre: </t>
  </si>
  <si>
    <t>- comprise entre</t>
  </si>
  <si>
    <t xml:space="preserve">- à partir de </t>
  </si>
  <si>
    <t xml:space="preserve">- comprise entre </t>
  </si>
  <si>
    <t>Nombre de tranches de</t>
  </si>
  <si>
    <t xml:space="preserve">Nombre de tranches de </t>
  </si>
  <si>
    <t xml:space="preserve">- comprise entre  </t>
  </si>
  <si>
    <t xml:space="preserve">- jusqu'à </t>
  </si>
  <si>
    <t>- à partir de</t>
  </si>
  <si>
    <t>Pour les activités de préparation, à l’exclusion de l’emballage et de l’étiquetage, le nombre de points
obtenu sur base du nombre de types d’ingrédients biologiques utilisés et du nombre de types de produits
biologiques préparés est limité à maximum cinquante pour cent du nombre de points obtenu sur base du
CAB.</t>
  </si>
  <si>
    <r>
      <t xml:space="preserve">CAB (= chiffre d'affaires annuel relatif aux activités dans le secteur biologique) </t>
    </r>
    <r>
      <rPr>
        <b/>
        <sz val="12"/>
        <rFont val="Calibri"/>
        <family val="2"/>
        <scheme val="minor"/>
      </rPr>
      <t>Etiqueteur
Pour les activités qui consistent à étiqueter des produits biologiques préemballés sans en modifier le conditionnement, soit l’étiquetage (ne pas ajouter de chiffre d'affaire pour l'étiquetage de ses propres produits préparés).</t>
    </r>
  </si>
  <si>
    <r>
      <t xml:space="preserve">CAB (= chiffre d'affaires annuel relatif aux activités dans le secteur biologique) </t>
    </r>
    <r>
      <rPr>
        <b/>
        <sz val="12"/>
        <rFont val="Calibri"/>
        <family val="2"/>
        <scheme val="minor"/>
      </rPr>
      <t>Acheteur de produits vrac
Entreprise qui réceptionne des produits vracs ou emballés mais non fermés et qui les commercialise dans le même état (ne pas ajouter de chiffre d'affaire pour l'achat  de ses propres produits préparés).</t>
    </r>
  </si>
  <si>
    <r>
      <t xml:space="preserve">CAB (= chiffre d'affaires annuel relatif aux activités dans le secteur biologique) </t>
    </r>
    <r>
      <rPr>
        <b/>
        <sz val="12"/>
        <rFont val="Calibri"/>
        <family val="2"/>
        <scheme val="minor"/>
      </rPr>
      <t>Distributeur/grossiste/négociant
Pour les activités qui consistent à commercialiser des produits biologiques préemballés sans en modifier
le conditionnement ni l’étiquetage, soit la distribution de produits préemballés (ne pas ajouter de chiffre d'affaire pour la partie    Distributeur/grossiste/négociant de ses propres produits préparés)</t>
    </r>
  </si>
  <si>
    <t>Veuillez indiquer le nombre de site d'activités supplémentaire dans la case verte:</t>
  </si>
  <si>
    <t>Petite entreprise de préparation</t>
  </si>
  <si>
    <t>Entreprise qui débute</t>
  </si>
  <si>
    <t>TOTAL Points de vente HTVA (€):</t>
  </si>
  <si>
    <t>TOTAL ACTIVITES DE PREPARATION, DISTRIBUTION, STOCKAGE  HTVA (€):</t>
  </si>
  <si>
    <t>TOTAL CONTRÔLE SUPPLEMENTAIRE HTVA (€):</t>
  </si>
  <si>
    <t>Nom:</t>
  </si>
  <si>
    <t>Veuillez remplir le CAB dans les cases vertse correspondantes:</t>
  </si>
  <si>
    <t>Pour avoir les résultats, veuillez d'abord remplir le tableau avec le(s) CAB.</t>
  </si>
  <si>
    <t>Pour avoir les résultats, veuillez d'abord remplir le tableau avec le(s) CAB</t>
  </si>
  <si>
    <t>Les montants indiqués sont soumis à indexation</t>
  </si>
  <si>
    <t>TOTAL  ACTIVITES PREPARATION, DISTRIBUTION, STOCKAGE HTVA (€):</t>
  </si>
  <si>
    <t>Si vous êtes éligible aux tarifs spéciaux, veuillez compléter seulement le tableau (n°3) "tarif spécial", si non ne rien remplir dans le tableau n° 3.</t>
  </si>
  <si>
    <t>Si vous êtes un producteur agricole, vous ne payez pas de redevance suplémentaire si les ingrédients achetés ne sont pas produits par l'unité de production et que 75% des produits utilisés sont issus de votre exploitation (hors solutions pour les macérats).</t>
  </si>
  <si>
    <t>Si vous n'avez qu'un (ou des) point(s) de vente passez au tableau (n°2) sur les points de vent.</t>
  </si>
  <si>
    <r>
      <t>CAB (= chiffre d'affaires annuel relatif aux activités dans le secteur biologique)</t>
    </r>
    <r>
      <rPr>
        <b/>
        <sz val="12"/>
        <rFont val="Calibri"/>
        <family val="2"/>
        <scheme val="minor"/>
      </rPr>
      <t xml:space="preserve"> Importateur/exportateur
Pour les activités qui consistent à importer ou exporter des produits biologiques préemballés sans en modifier
le conditionnement ni l’étiquetage, soit la distribution de produits préemballés</t>
    </r>
  </si>
  <si>
    <r>
      <t>CAB (= chiffre d'affaires annuel relatif aux activités dans le secteur biologique)</t>
    </r>
    <r>
      <rPr>
        <b/>
        <sz val="12"/>
        <rFont val="Calibri"/>
        <family val="2"/>
        <scheme val="minor"/>
      </rPr>
      <t xml:space="preserve">  transformateur
Entreprise qui transforme des produits bio</t>
    </r>
  </si>
  <si>
    <r>
      <t xml:space="preserve">CAB (= chiffre d'affaires annuel relatif aux activités dans le secteur biologique) </t>
    </r>
    <r>
      <rPr>
        <b/>
        <sz val="12"/>
        <rFont val="Calibri"/>
        <family val="2"/>
        <scheme val="minor"/>
      </rPr>
      <t>Conditionneur
Entreprise qui achète des produits, qui change l'emballage et qui commercialise le produit comme bio (ajouter le chiffre d'affaire au conditionnement des produits bio ici).</t>
    </r>
  </si>
  <si>
    <t>CAB minimal et indexé</t>
  </si>
  <si>
    <t xml:space="preserve">Montant de base </t>
  </si>
  <si>
    <t>montants indexés</t>
  </si>
  <si>
    <t>Montants originaux</t>
  </si>
  <si>
    <t>FEU-BIO-00068(3)</t>
  </si>
  <si>
    <r>
      <rPr>
        <b/>
        <sz val="11"/>
        <rFont val="Calibri"/>
        <family val="2"/>
        <scheme val="minor"/>
      </rPr>
      <t>pour les entreprises de distribution de produits préemballés dont le CAB est inférieur à 71675,35 euros</t>
    </r>
    <r>
      <rPr>
        <sz val="11"/>
        <rFont val="Calibri"/>
        <family val="2"/>
        <scheme val="minor"/>
      </rPr>
      <t>, ce seuil est ramené à 3  280 points à condition de respecter les conditions suivantes : l’entreprise a un seul site d’activités à contrôler et ne fait pas appel à plus de dix fournisseurs différents par an.</t>
    </r>
  </si>
  <si>
    <t>Année 2025:</t>
  </si>
  <si>
    <t xml:space="preserve"> CAB est inférieur à 18606,26€ </t>
  </si>
  <si>
    <r>
      <rPr>
        <b/>
        <sz val="11"/>
        <rFont val="Calibri"/>
        <family val="2"/>
        <scheme val="minor"/>
      </rPr>
      <t>pour les entreprises de préparation, à l’exclusion de l’emballage et de l’étiquetage</t>
    </r>
    <r>
      <rPr>
        <sz val="11"/>
        <rFont val="Calibri"/>
        <family val="2"/>
        <scheme val="minor"/>
      </rPr>
      <t xml:space="preserve">, dont le CAB est
inférieur à 18606,26 euros, </t>
    </r>
  </si>
  <si>
    <r>
      <rPr>
        <b/>
        <sz val="11"/>
        <rFont val="Calibri"/>
        <family val="2"/>
        <scheme val="minor"/>
      </rPr>
      <t xml:space="preserve">pour les entreprises </t>
    </r>
    <r>
      <rPr>
        <sz val="11"/>
        <rFont val="Calibri"/>
        <family val="2"/>
        <scheme val="minor"/>
      </rPr>
      <t xml:space="preserve">(dont le CAB est &gt; ou = à 18606,26 euro) </t>
    </r>
    <r>
      <rPr>
        <b/>
        <sz val="11"/>
        <rFont val="Calibri"/>
        <family val="2"/>
        <scheme val="minor"/>
      </rPr>
      <t>qui débutent leurs activités en production biologique,</t>
    </r>
    <r>
      <rPr>
        <sz val="11"/>
        <rFont val="Calibri"/>
        <family val="2"/>
        <scheme val="minor"/>
      </rPr>
      <t xml:space="preserve"> pendant les deux premières années suivant la date de réception de la notification de leurs
activités, complète et valide.</t>
    </r>
  </si>
  <si>
    <t>CAB est inférieur à 74423,88</t>
  </si>
  <si>
    <t>&lt; 22327,75€</t>
  </si>
  <si>
    <t>Entre 22327,75€ et 89308,65€</t>
  </si>
  <si>
    <t>Entre 89308,65€ et 148847,75€</t>
  </si>
  <si>
    <t>&gt;148847,75€</t>
  </si>
  <si>
    <t>Si la vente au consommateur final de produits bio en vrac est une activité supplémentaire par rapport à la production, la préparation, le conditionnement ou la distribution, et que le chiffre d'achat est supérieur à 7442,98€, une réduction est appliquée.</t>
  </si>
  <si>
    <t>Un producteur ou une entreprise de préparation, de distribution, de stockage, d'importation ou d’
exportation de produits biologiques ne paie pas de redevance spécifique pour le contrôle d’une activité de
vente directe au consommateur ou à l'utilisateur final de produits biologiques non emballé si le chiffre
annuel d’achat des produits biologiques destinés à être vendus sous une forme non emballée est inférieur
à 7442,98 euros. Si le chiffre annuel d'achat est supérieur au montant cité, veuillez remplir le tableau si-dessous.</t>
  </si>
  <si>
    <t>Redevance minimale annuelle: si la somme totale des montants dédiés aux activités de préparation, de distribution, et de stockage est inférieur à 855€, le montant facturé sera de 855 €.</t>
  </si>
  <si>
    <t>Par tranche de "7442,388" € du CAB* (= chiffre d'affaires annuel relatif aux activités dans le secteur biologique) transformateur</t>
  </si>
  <si>
    <t>Par tranche de "7442,388" € du CAB* (= chiffre d'affaires annuel relatif aux activités dans le secteur biologique) conditionneur</t>
  </si>
  <si>
    <t>Par tranche de "7442,388" € du CAB* (= chiffre d'affaires annuel relatif aux activités dans le secteur biologique) Etiqueteur</t>
  </si>
  <si>
    <t>Par tranche de "7442,388"€ du CAB* (= chiffre d'affaires annuel relatif aux activités dans le secteur biologique)  Acheteur de produits vrac</t>
  </si>
  <si>
    <t>Par tranche de"7442,388" € du CAB* (= chiffre d'affaires annuel relatif aux activités dans le secteur biologique)  Distributeur/grossiste/négociant</t>
  </si>
  <si>
    <t>Par tranche de"7442,388" € du CAB* (= chiffre d'affaires annuel relatif aux activités dans le secteur biologique)  Importateur/exportateur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</si>
</sst>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7" x14ac:knownFonts="1">
    <font>
      <sz val="10"/>
      <name val="Arial"/>
    </font>
    <font>
      <sz val="12"/>
      <name val="Calibri"/>
      <family val="2"/>
      <scheme val="minor"/>
    </font>
    <font>
      <b/>
      <u/>
      <sz val="12"/>
      <name val="Calibri"/>
      <family val="2"/>
      <scheme val="minor"/>
    </font>
    <font>
      <b/>
      <sz val="12"/>
      <name val="Calibri"/>
      <family val="2"/>
      <scheme val="minor"/>
    </font>
    <font>
      <i/>
      <sz val="12"/>
      <name val="Calibri"/>
      <family val="2"/>
      <scheme val="minor"/>
    </font>
    <font>
      <sz val="11"/>
      <name val="Calibri"/>
      <family val="2"/>
      <scheme val="minor"/>
    </font>
    <font>
      <sz val="10"/>
      <name val="Arial"/>
      <family val="2"/>
    </font>
    <font>
      <b/>
      <sz val="10"/>
      <name val="Arial"/>
      <family val="2"/>
    </font>
    <font>
      <b/>
      <sz val="11"/>
      <name val="Calibri"/>
      <family val="2"/>
      <scheme val="minor"/>
    </font>
    <font>
      <b/>
      <sz val="12"/>
      <name val="Arial"/>
      <family val="2"/>
    </font>
    <font>
      <sz val="10"/>
      <color theme="0"/>
      <name val="Arial"/>
      <family val="2"/>
    </font>
    <font>
      <sz val="12"/>
      <color theme="0"/>
      <name val="Calibri"/>
      <family val="2"/>
      <scheme val="minor"/>
    </font>
    <font>
      <sz val="11"/>
      <color rgb="FFFF0000"/>
      <name val="Calibri"/>
      <family val="2"/>
      <scheme val="minor"/>
    </font>
    <font>
      <sz val="12"/>
      <color rgb="FFFF0000"/>
      <name val="Calibri"/>
      <family val="2"/>
      <scheme val="minor"/>
    </font>
    <font>
      <sz val="10"/>
      <color rgb="FFFF0000"/>
      <name val="Arial"/>
      <family val="2"/>
    </font>
    <font>
      <i/>
      <sz val="11"/>
      <name val="Calibri"/>
      <family val="2"/>
      <scheme val="minor"/>
    </font>
    <font>
      <b/>
      <sz val="14"/>
      <name val="Calibri"/>
      <family val="2"/>
      <scheme val="minor"/>
    </font>
    <font>
      <b/>
      <u/>
      <sz val="16"/>
      <name val="Calibri"/>
      <family val="2"/>
      <scheme val="minor"/>
    </font>
    <font>
      <sz val="16"/>
      <name val="Arial"/>
      <family val="2"/>
    </font>
    <font>
      <b/>
      <i/>
      <u/>
      <sz val="12"/>
      <name val="Calibri"/>
      <family val="2"/>
      <scheme val="minor"/>
    </font>
    <font>
      <i/>
      <sz val="10"/>
      <name val="Arial"/>
      <family val="2"/>
    </font>
    <font>
      <i/>
      <sz val="10"/>
      <name val="Calibri"/>
      <family val="2"/>
      <scheme val="minor"/>
    </font>
    <font>
      <b/>
      <sz val="16"/>
      <name val="Calibri"/>
      <family val="2"/>
      <scheme val="minor"/>
    </font>
    <font>
      <sz val="16"/>
      <name val="Calibri"/>
      <family val="2"/>
      <scheme val="minor"/>
    </font>
    <font>
      <sz val="10"/>
      <color rgb="FFFF0000"/>
      <name val="Arial"/>
      <family val="2"/>
    </font>
    <font>
      <sz val="14"/>
      <name val="Arial"/>
      <family val="2"/>
    </font>
    <font>
      <sz val="11"/>
      <color theme="0"/>
      <name val="Calibri"/>
      <family val="2"/>
      <scheme val="minor"/>
    </font>
    <font>
      <sz val="14"/>
      <name val="Calibri"/>
      <family val="2"/>
      <scheme val="minor"/>
    </font>
    <font>
      <b/>
      <u/>
      <sz val="14"/>
      <name val="Calibri"/>
      <family val="2"/>
      <scheme val="minor"/>
    </font>
    <font>
      <b/>
      <sz val="11"/>
      <color theme="0"/>
      <name val="Calibri"/>
      <family val="2"/>
      <scheme val="minor"/>
    </font>
    <font>
      <sz val="16"/>
      <color theme="0"/>
      <name val="Arial"/>
      <family val="2"/>
    </font>
    <font>
      <b/>
      <u/>
      <sz val="12"/>
      <color theme="0"/>
      <name val="Calibri"/>
      <family val="2"/>
      <scheme val="minor"/>
    </font>
    <font>
      <i/>
      <sz val="12"/>
      <color theme="0"/>
      <name val="Calibri"/>
      <family val="2"/>
      <scheme val="minor"/>
    </font>
    <font>
      <i/>
      <sz val="10"/>
      <color theme="0"/>
      <name val="Arial"/>
      <family val="2"/>
    </font>
    <font>
      <b/>
      <sz val="12"/>
      <color theme="0"/>
      <name val="Arial"/>
      <family val="2"/>
    </font>
    <font>
      <b/>
      <sz val="10"/>
      <color theme="0"/>
      <name val="Arial"/>
      <family val="2"/>
    </font>
    <font>
      <sz val="16"/>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top style="hair">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cellStyleXfs>
  <cellXfs count="341">
    <xf numFmtId="0" fontId="0" fillId="0" borderId="0" xfId="0"/>
    <xf numFmtId="0" fontId="1" fillId="0" borderId="0" xfId="0" applyFont="1"/>
    <xf numFmtId="0" fontId="4" fillId="0" borderId="0" xfId="0" applyFont="1"/>
    <xf numFmtId="0" fontId="1" fillId="0" borderId="0" xfId="0" applyFont="1" applyBorder="1"/>
    <xf numFmtId="0" fontId="2" fillId="0" borderId="0" xfId="0" applyFont="1" applyBorder="1"/>
    <xf numFmtId="0" fontId="1" fillId="0" borderId="6" xfId="0" applyFont="1" applyBorder="1"/>
    <xf numFmtId="0" fontId="3" fillId="0" borderId="7" xfId="0" applyFont="1" applyBorder="1"/>
    <xf numFmtId="2" fontId="5" fillId="0" borderId="0" xfId="0" applyNumberFormat="1" applyFont="1" applyBorder="1" applyAlignment="1">
      <alignment horizontal="center" wrapText="1"/>
    </xf>
    <xf numFmtId="0" fontId="4" fillId="0" borderId="0" xfId="0" applyFont="1" applyBorder="1"/>
    <xf numFmtId="0" fontId="1" fillId="0" borderId="0" xfId="0" applyFont="1" applyBorder="1" applyAlignment="1">
      <alignment horizontal="right"/>
    </xf>
    <xf numFmtId="0" fontId="7" fillId="0" borderId="0" xfId="0" applyFont="1" applyBorder="1" applyAlignment="1">
      <alignment wrapText="1"/>
    </xf>
    <xf numFmtId="2" fontId="5" fillId="0" borderId="0" xfId="0" applyNumberFormat="1" applyFont="1" applyBorder="1" applyAlignment="1">
      <alignment horizontal="center"/>
    </xf>
    <xf numFmtId="2" fontId="5" fillId="0" borderId="16" xfId="0" applyNumberFormat="1" applyFont="1" applyBorder="1" applyAlignment="1">
      <alignment horizontal="center"/>
    </xf>
    <xf numFmtId="0" fontId="10" fillId="0" borderId="0" xfId="0" applyFont="1"/>
    <xf numFmtId="0" fontId="11" fillId="0" borderId="0" xfId="0" applyFont="1"/>
    <xf numFmtId="0" fontId="11" fillId="0" borderId="0" xfId="0" applyFont="1" applyBorder="1"/>
    <xf numFmtId="0" fontId="13" fillId="0" borderId="0" xfId="0" applyFont="1" applyBorder="1"/>
    <xf numFmtId="2" fontId="12" fillId="0" borderId="0" xfId="0" applyNumberFormat="1" applyFont="1" applyFill="1" applyBorder="1" applyAlignment="1">
      <alignment horizontal="center"/>
    </xf>
    <xf numFmtId="0" fontId="14" fillId="0" borderId="0" xfId="0" applyFont="1"/>
    <xf numFmtId="0" fontId="0" fillId="0" borderId="0" xfId="0"/>
    <xf numFmtId="0" fontId="1" fillId="0" borderId="0" xfId="0" applyFont="1"/>
    <xf numFmtId="0" fontId="3" fillId="0" borderId="0" xfId="0" applyFont="1" applyBorder="1"/>
    <xf numFmtId="0" fontId="1" fillId="0" borderId="4" xfId="0" applyFont="1" applyBorder="1"/>
    <xf numFmtId="0" fontId="4" fillId="0" borderId="0" xfId="0" applyFont="1"/>
    <xf numFmtId="2" fontId="3" fillId="0" borderId="23" xfId="0" applyNumberFormat="1" applyFont="1" applyBorder="1"/>
    <xf numFmtId="0" fontId="11" fillId="0" borderId="0" xfId="0" applyFont="1"/>
    <xf numFmtId="0" fontId="13" fillId="0" borderId="0" xfId="0" applyFont="1"/>
    <xf numFmtId="0" fontId="1" fillId="0" borderId="0" xfId="0" applyFont="1" applyBorder="1" applyAlignment="1">
      <alignment horizontal="left" wrapText="1"/>
    </xf>
    <xf numFmtId="0" fontId="2" fillId="0" borderId="17" xfId="0" applyFont="1" applyBorder="1"/>
    <xf numFmtId="2" fontId="5" fillId="0" borderId="17" xfId="0" applyNumberFormat="1" applyFont="1" applyBorder="1" applyAlignment="1">
      <alignment horizontal="center"/>
    </xf>
    <xf numFmtId="0" fontId="3" fillId="2" borderId="5" xfId="0" applyFont="1" applyFill="1" applyBorder="1"/>
    <xf numFmtId="2" fontId="3" fillId="0" borderId="0" xfId="0" applyNumberFormat="1" applyFont="1" applyBorder="1"/>
    <xf numFmtId="0" fontId="3" fillId="0" borderId="22" xfId="0" applyFont="1" applyBorder="1"/>
    <xf numFmtId="0" fontId="0" fillId="0" borderId="29" xfId="0" applyBorder="1" applyAlignment="1">
      <alignment wrapText="1"/>
    </xf>
    <xf numFmtId="2" fontId="5" fillId="0" borderId="31" xfId="0" applyNumberFormat="1" applyFont="1" applyBorder="1" applyAlignment="1">
      <alignment horizontal="center"/>
    </xf>
    <xf numFmtId="2" fontId="5" fillId="0" borderId="34" xfId="0" applyNumberFormat="1" applyFont="1" applyBorder="1" applyAlignment="1">
      <alignment horizontal="center"/>
    </xf>
    <xf numFmtId="2" fontId="5" fillId="0" borderId="37" xfId="0" applyNumberFormat="1" applyFont="1" applyBorder="1" applyAlignment="1">
      <alignment horizontal="center"/>
    </xf>
    <xf numFmtId="2" fontId="5" fillId="0" borderId="40" xfId="0" applyNumberFormat="1" applyFont="1" applyBorder="1" applyAlignment="1">
      <alignment horizontal="center"/>
    </xf>
    <xf numFmtId="0" fontId="0" fillId="2" borderId="0" xfId="0" applyFill="1" applyBorder="1" applyAlignment="1">
      <alignment horizontal="left" wrapText="1"/>
    </xf>
    <xf numFmtId="0" fontId="0" fillId="0" borderId="0" xfId="0" applyBorder="1" applyAlignment="1">
      <alignment horizontal="left" wrapText="1"/>
    </xf>
    <xf numFmtId="0" fontId="1" fillId="0" borderId="42" xfId="0" applyFont="1" applyBorder="1"/>
    <xf numFmtId="0" fontId="1" fillId="0" borderId="44" xfId="0" applyFont="1" applyBorder="1"/>
    <xf numFmtId="0" fontId="16" fillId="0" borderId="0" xfId="0" applyFont="1" applyBorder="1"/>
    <xf numFmtId="0" fontId="19" fillId="0" borderId="0" xfId="0" applyFont="1" applyBorder="1"/>
    <xf numFmtId="0" fontId="1" fillId="3" borderId="30" xfId="0" applyFont="1" applyFill="1" applyBorder="1" applyAlignment="1" applyProtection="1">
      <alignment horizontal="center"/>
      <protection locked="0"/>
    </xf>
    <xf numFmtId="2" fontId="1" fillId="0" borderId="43" xfId="0" applyNumberFormat="1" applyFont="1" applyBorder="1"/>
    <xf numFmtId="2" fontId="1" fillId="0" borderId="45" xfId="0" applyNumberFormat="1" applyFont="1" applyBorder="1"/>
    <xf numFmtId="0" fontId="7" fillId="0" borderId="15" xfId="0" applyFont="1" applyBorder="1" applyAlignment="1">
      <alignment wrapText="1"/>
    </xf>
    <xf numFmtId="2" fontId="8" fillId="2" borderId="28" xfId="0" applyNumberFormat="1" applyFont="1" applyFill="1" applyBorder="1" applyAlignment="1">
      <alignment horizontal="left"/>
    </xf>
    <xf numFmtId="0" fontId="7" fillId="0" borderId="17" xfId="0" applyFont="1" applyBorder="1" applyAlignment="1">
      <alignment wrapText="1"/>
    </xf>
    <xf numFmtId="0" fontId="1" fillId="2" borderId="0" xfId="0" applyFont="1" applyFill="1" applyBorder="1" applyAlignment="1">
      <alignment horizontal="right"/>
    </xf>
    <xf numFmtId="0" fontId="1" fillId="3" borderId="33" xfId="0" applyFont="1" applyFill="1" applyBorder="1" applyAlignment="1" applyProtection="1">
      <alignment horizontal="center"/>
      <protection locked="0"/>
    </xf>
    <xf numFmtId="0" fontId="1" fillId="0" borderId="0" xfId="0" applyFont="1" applyBorder="1" applyAlignment="1">
      <alignment horizontal="right" wrapText="1"/>
    </xf>
    <xf numFmtId="0" fontId="0" fillId="0" borderId="0" xfId="0" applyBorder="1" applyAlignment="1">
      <alignment wrapText="1"/>
    </xf>
    <xf numFmtId="0" fontId="1" fillId="0" borderId="29" xfId="0" applyFont="1" applyBorder="1"/>
    <xf numFmtId="2" fontId="3" fillId="0" borderId="29" xfId="0" applyNumberFormat="1" applyFont="1" applyBorder="1"/>
    <xf numFmtId="0" fontId="3" fillId="0" borderId="50" xfId="0" applyFont="1" applyBorder="1"/>
    <xf numFmtId="0" fontId="1" fillId="0" borderId="53" xfId="0" applyFont="1" applyBorder="1"/>
    <xf numFmtId="0" fontId="1" fillId="2" borderId="0" xfId="0" applyFont="1" applyFill="1" applyBorder="1" applyAlignment="1">
      <alignment horizontal="right" wrapText="1"/>
    </xf>
    <xf numFmtId="0" fontId="8" fillId="0" borderId="28" xfId="0" applyFont="1" applyBorder="1" applyAlignment="1">
      <alignment horizontal="left" wrapText="1"/>
    </xf>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 fillId="0" borderId="30" xfId="0" applyFont="1" applyBorder="1" applyAlignment="1">
      <alignment horizontal="center"/>
    </xf>
    <xf numFmtId="0" fontId="1" fillId="0" borderId="0" xfId="0" applyFont="1" applyBorder="1" applyAlignment="1">
      <alignment wrapText="1"/>
    </xf>
    <xf numFmtId="0" fontId="6" fillId="0" borderId="0" xfId="0" applyFont="1" applyBorder="1" applyAlignment="1">
      <alignment wrapText="1"/>
    </xf>
    <xf numFmtId="2" fontId="5" fillId="0" borderId="28" xfId="0" applyNumberFormat="1" applyFont="1" applyBorder="1" applyAlignment="1">
      <alignment horizontal="center"/>
    </xf>
    <xf numFmtId="0" fontId="22" fillId="4" borderId="28" xfId="0" applyFont="1" applyFill="1" applyBorder="1" applyAlignment="1">
      <alignment horizontal="left" wrapText="1"/>
    </xf>
    <xf numFmtId="0" fontId="2" fillId="3" borderId="28" xfId="0" applyFont="1" applyFill="1" applyBorder="1" applyAlignment="1" applyProtection="1">
      <alignment horizontal="left"/>
      <protection locked="0"/>
    </xf>
    <xf numFmtId="0" fontId="1" fillId="3" borderId="30" xfId="0" applyFont="1" applyFill="1" applyBorder="1" applyAlignment="1" applyProtection="1">
      <alignment horizontal="left"/>
      <protection locked="0"/>
    </xf>
    <xf numFmtId="0" fontId="1" fillId="3" borderId="33" xfId="0" applyFont="1" applyFill="1" applyBorder="1" applyAlignment="1" applyProtection="1">
      <alignment horizontal="left"/>
      <protection locked="0"/>
    </xf>
    <xf numFmtId="0" fontId="1" fillId="3" borderId="30" xfId="0" applyFont="1" applyFill="1" applyBorder="1" applyAlignment="1" applyProtection="1">
      <alignment horizontal="left" vertical="center"/>
      <protection locked="0"/>
    </xf>
    <xf numFmtId="0" fontId="1" fillId="3" borderId="33"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5" xfId="0" applyFont="1" applyFill="1" applyBorder="1" applyAlignment="1" applyProtection="1">
      <alignment horizontal="left"/>
      <protection locked="0"/>
    </xf>
    <xf numFmtId="2" fontId="1" fillId="3" borderId="52" xfId="0" applyNumberFormat="1" applyFont="1" applyFill="1" applyBorder="1" applyAlignment="1" applyProtection="1">
      <alignment horizontal="left"/>
      <protection locked="0"/>
    </xf>
    <xf numFmtId="0" fontId="5" fillId="0" borderId="0" xfId="0" applyFont="1" applyBorder="1" applyAlignment="1">
      <alignment wrapText="1"/>
    </xf>
    <xf numFmtId="2" fontId="5" fillId="0" borderId="0" xfId="0" applyNumberFormat="1" applyFont="1" applyBorder="1" applyAlignment="1">
      <alignment wrapText="1"/>
    </xf>
    <xf numFmtId="0" fontId="1" fillId="3" borderId="38" xfId="0" applyFont="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3" fillId="2" borderId="0" xfId="0" applyFont="1" applyFill="1" applyBorder="1" applyAlignment="1">
      <alignment horizontal="right"/>
    </xf>
    <xf numFmtId="0" fontId="24" fillId="2" borderId="0" xfId="0" applyFont="1" applyFill="1" applyBorder="1" applyAlignment="1">
      <alignment horizontal="left" wrapText="1"/>
    </xf>
    <xf numFmtId="2" fontId="5" fillId="0" borderId="51" xfId="0" applyNumberFormat="1" applyFont="1" applyBorder="1" applyAlignment="1">
      <alignment horizontal="center"/>
    </xf>
    <xf numFmtId="0" fontId="8" fillId="0" borderId="60" xfId="0" applyFont="1" applyBorder="1" applyAlignment="1">
      <alignment horizontal="left" wrapText="1"/>
    </xf>
    <xf numFmtId="0" fontId="3" fillId="2" borderId="0" xfId="0" applyFont="1" applyFill="1" applyBorder="1" applyAlignment="1">
      <alignment wrapText="1"/>
    </xf>
    <xf numFmtId="0" fontId="7" fillId="2" borderId="0" xfId="0" applyFont="1" applyFill="1" applyBorder="1" applyAlignment="1">
      <alignment wrapText="1"/>
    </xf>
    <xf numFmtId="0" fontId="1" fillId="0" borderId="0" xfId="0" applyFont="1" applyBorder="1" applyAlignment="1">
      <alignment horizontal="left"/>
    </xf>
    <xf numFmtId="2" fontId="5" fillId="0" borderId="0" xfId="0" applyNumberFormat="1" applyFont="1" applyFill="1" applyBorder="1" applyAlignment="1">
      <alignment horizontal="center"/>
    </xf>
    <xf numFmtId="0" fontId="1" fillId="0" borderId="0" xfId="0" quotePrefix="1" applyFont="1" applyBorder="1" applyAlignment="1">
      <alignment horizontal="right" wrapText="1"/>
    </xf>
    <xf numFmtId="0" fontId="2" fillId="0" borderId="0" xfId="0" applyFont="1" applyFill="1" applyBorder="1" applyAlignment="1" applyProtection="1">
      <alignment horizontal="left"/>
      <protection locked="0"/>
    </xf>
    <xf numFmtId="0" fontId="1" fillId="0" borderId="0" xfId="0" applyFont="1"/>
    <xf numFmtId="0" fontId="1" fillId="0" borderId="0" xfId="0" applyFont="1" applyBorder="1"/>
    <xf numFmtId="2" fontId="5" fillId="0" borderId="0" xfId="0" applyNumberFormat="1" applyFont="1" applyBorder="1" applyAlignment="1">
      <alignment horizontal="center"/>
    </xf>
    <xf numFmtId="0" fontId="11" fillId="0" borderId="0" xfId="0" applyFont="1"/>
    <xf numFmtId="0" fontId="11" fillId="0" borderId="0" xfId="0" applyFont="1" applyBorder="1"/>
    <xf numFmtId="0" fontId="13" fillId="0" borderId="0" xfId="0" applyFont="1" applyBorder="1"/>
    <xf numFmtId="0" fontId="13" fillId="0" borderId="0" xfId="0" applyFont="1"/>
    <xf numFmtId="0" fontId="0" fillId="2" borderId="0" xfId="0" applyFill="1" applyBorder="1" applyAlignment="1">
      <alignment horizontal="left" wrapText="1"/>
    </xf>
    <xf numFmtId="0" fontId="0" fillId="0" borderId="0" xfId="0" applyBorder="1" applyAlignment="1">
      <alignment horizontal="left" wrapText="1"/>
    </xf>
    <xf numFmtId="0" fontId="8" fillId="0" borderId="28" xfId="0" applyFont="1" applyBorder="1" applyAlignment="1">
      <alignment horizontal="left" wrapText="1"/>
    </xf>
    <xf numFmtId="0" fontId="1" fillId="0" borderId="30" xfId="0" applyFont="1" applyBorder="1" applyAlignment="1">
      <alignment horizontal="center"/>
    </xf>
    <xf numFmtId="0" fontId="0" fillId="0" borderId="1" xfId="0" applyBorder="1" applyAlignment="1">
      <alignment wrapText="1"/>
    </xf>
    <xf numFmtId="0" fontId="3" fillId="0" borderId="19" xfId="0" applyFont="1" applyBorder="1" applyAlignment="1">
      <alignment horizontal="left" wrapText="1"/>
    </xf>
    <xf numFmtId="0" fontId="6" fillId="0" borderId="1" xfId="0" applyFont="1" applyBorder="1" applyAlignment="1">
      <alignment wrapText="1"/>
    </xf>
    <xf numFmtId="0" fontId="0" fillId="0" borderId="8" xfId="0" applyBorder="1" applyAlignment="1">
      <alignment wrapText="1"/>
    </xf>
    <xf numFmtId="0" fontId="1" fillId="0" borderId="32" xfId="0" applyFont="1" applyBorder="1" applyAlignment="1">
      <alignment horizontal="center"/>
    </xf>
    <xf numFmtId="0" fontId="6" fillId="0" borderId="8" xfId="0" applyFont="1" applyBorder="1" applyAlignment="1">
      <alignment wrapText="1"/>
    </xf>
    <xf numFmtId="0" fontId="1" fillId="0" borderId="0" xfId="0" applyFont="1" applyFill="1" applyBorder="1" applyAlignment="1">
      <alignment horizontal="right" wrapText="1"/>
    </xf>
    <xf numFmtId="0" fontId="1" fillId="0" borderId="0" xfId="0" applyFont="1" applyFill="1" applyBorder="1" applyAlignment="1">
      <alignment wrapText="1"/>
    </xf>
    <xf numFmtId="0" fontId="6" fillId="0" borderId="0" xfId="0" applyFont="1" applyFill="1" applyBorder="1" applyAlignment="1">
      <alignment wrapText="1"/>
    </xf>
    <xf numFmtId="0" fontId="1" fillId="2" borderId="30" xfId="0" applyFont="1" applyFill="1" applyBorder="1" applyAlignment="1" applyProtection="1">
      <alignment horizontal="left" vertical="center"/>
      <protection locked="0"/>
    </xf>
    <xf numFmtId="2" fontId="5" fillId="2" borderId="31" xfId="0" applyNumberFormat="1" applyFont="1" applyFill="1" applyBorder="1" applyAlignment="1">
      <alignment horizontal="center"/>
    </xf>
    <xf numFmtId="0" fontId="5" fillId="2" borderId="11" xfId="0" applyFont="1" applyFill="1" applyBorder="1" applyAlignment="1">
      <alignment wrapText="1"/>
    </xf>
    <xf numFmtId="0" fontId="5" fillId="2" borderId="12" xfId="0" applyFont="1" applyFill="1" applyBorder="1" applyAlignment="1">
      <alignment wrapText="1"/>
    </xf>
    <xf numFmtId="0" fontId="5" fillId="2" borderId="8" xfId="0" applyFont="1" applyFill="1" applyBorder="1" applyAlignment="1">
      <alignment wrapText="1"/>
    </xf>
    <xf numFmtId="0" fontId="7" fillId="0" borderId="0" xfId="0" applyFont="1" applyBorder="1" applyAlignment="1">
      <alignment horizontal="left" wrapText="1"/>
    </xf>
    <xf numFmtId="0" fontId="3" fillId="2" borderId="0" xfId="0" applyFont="1" applyFill="1" applyBorder="1" applyAlignment="1">
      <alignment horizontal="left" wrapText="1"/>
    </xf>
    <xf numFmtId="2" fontId="1" fillId="2" borderId="0" xfId="0" applyNumberFormat="1" applyFont="1" applyFill="1" applyBorder="1" applyAlignment="1">
      <alignment horizontal="center"/>
    </xf>
    <xf numFmtId="0" fontId="1" fillId="2" borderId="0" xfId="0" applyFont="1" applyFill="1" applyBorder="1" applyAlignment="1">
      <alignment horizontal="left" wrapText="1"/>
    </xf>
    <xf numFmtId="2" fontId="5" fillId="2" borderId="0" xfId="0" applyNumberFormat="1" applyFont="1" applyFill="1" applyBorder="1" applyAlignment="1">
      <alignment horizontal="center" wrapText="1"/>
    </xf>
    <xf numFmtId="0" fontId="2" fillId="0" borderId="0" xfId="0" applyFont="1" applyAlignment="1">
      <alignment horizontal="center"/>
    </xf>
    <xf numFmtId="0" fontId="0" fillId="0" borderId="0" xfId="0" applyAlignment="1">
      <alignment horizontal="center"/>
    </xf>
    <xf numFmtId="0" fontId="3" fillId="0" borderId="0" xfId="0" applyFont="1" applyBorder="1"/>
    <xf numFmtId="0" fontId="3" fillId="0" borderId="0" xfId="0" applyFont="1"/>
    <xf numFmtId="2" fontId="5" fillId="2" borderId="36" xfId="0" applyNumberFormat="1" applyFont="1" applyFill="1" applyBorder="1" applyAlignment="1">
      <alignment horizontal="center"/>
    </xf>
    <xf numFmtId="2" fontId="5" fillId="2" borderId="34" xfId="0" applyNumberFormat="1" applyFont="1" applyFill="1" applyBorder="1" applyAlignment="1">
      <alignment horizontal="center"/>
    </xf>
    <xf numFmtId="2" fontId="5" fillId="2" borderId="51" xfId="0" applyNumberFormat="1" applyFont="1" applyFill="1" applyBorder="1" applyAlignment="1">
      <alignment horizontal="center"/>
    </xf>
    <xf numFmtId="2" fontId="5" fillId="2" borderId="14" xfId="0" applyNumberFormat="1" applyFont="1" applyFill="1" applyBorder="1" applyAlignment="1">
      <alignment horizontal="center"/>
    </xf>
    <xf numFmtId="2" fontId="5" fillId="2" borderId="56" xfId="0" applyNumberFormat="1" applyFont="1" applyFill="1" applyBorder="1" applyAlignment="1">
      <alignment horizontal="center"/>
    </xf>
    <xf numFmtId="2" fontId="5" fillId="2" borderId="28" xfId="0" applyNumberFormat="1" applyFont="1" applyFill="1" applyBorder="1" applyAlignment="1">
      <alignment horizontal="center"/>
    </xf>
    <xf numFmtId="2" fontId="5" fillId="2" borderId="0" xfId="0" applyNumberFormat="1" applyFont="1" applyFill="1" applyBorder="1" applyAlignment="1">
      <alignment horizontal="center"/>
    </xf>
    <xf numFmtId="2" fontId="5" fillId="2" borderId="38" xfId="0" applyNumberFormat="1" applyFont="1" applyFill="1" applyBorder="1" applyAlignment="1">
      <alignment horizontal="center"/>
    </xf>
    <xf numFmtId="2" fontId="5" fillId="2" borderId="30" xfId="0" applyNumberFormat="1" applyFont="1" applyFill="1" applyBorder="1" applyAlignment="1">
      <alignment horizontal="center"/>
    </xf>
    <xf numFmtId="2" fontId="5" fillId="2" borderId="40" xfId="0" applyNumberFormat="1" applyFont="1" applyFill="1" applyBorder="1" applyAlignment="1">
      <alignment horizontal="center"/>
    </xf>
    <xf numFmtId="2" fontId="5" fillId="2" borderId="11" xfId="0" applyNumberFormat="1" applyFont="1" applyFill="1" applyBorder="1" applyAlignment="1">
      <alignment wrapText="1"/>
    </xf>
    <xf numFmtId="2" fontId="5" fillId="2" borderId="25" xfId="0" applyNumberFormat="1" applyFont="1" applyFill="1" applyBorder="1" applyAlignment="1">
      <alignment wrapText="1"/>
    </xf>
    <xf numFmtId="0" fontId="27" fillId="0" borderId="0" xfId="0" applyFont="1" applyBorder="1"/>
    <xf numFmtId="0" fontId="15" fillId="0" borderId="0" xfId="0" applyFont="1" applyBorder="1"/>
    <xf numFmtId="0" fontId="28" fillId="0" borderId="0" xfId="0" applyFont="1" applyBorder="1"/>
    <xf numFmtId="2" fontId="26" fillId="0" borderId="0" xfId="0" applyNumberFormat="1" applyFont="1" applyBorder="1" applyAlignment="1">
      <alignment horizontal="center"/>
    </xf>
    <xf numFmtId="2" fontId="26" fillId="2" borderId="0" xfId="0" applyNumberFormat="1" applyFont="1" applyFill="1" applyBorder="1" applyAlignment="1">
      <alignment horizontal="center" wrapText="1"/>
    </xf>
    <xf numFmtId="2" fontId="23" fillId="4" borderId="28" xfId="0" applyNumberFormat="1" applyFont="1" applyFill="1" applyBorder="1" applyAlignment="1">
      <alignment horizontal="center" vertical="center" wrapText="1"/>
    </xf>
    <xf numFmtId="2" fontId="12" fillId="0" borderId="0" xfId="0" applyNumberFormat="1" applyFont="1" applyBorder="1" applyAlignment="1">
      <alignment horizontal="center"/>
    </xf>
    <xf numFmtId="2" fontId="12" fillId="2" borderId="0" xfId="0" applyNumberFormat="1" applyFont="1" applyFill="1" applyBorder="1" applyAlignment="1">
      <alignment horizontal="center"/>
    </xf>
    <xf numFmtId="2" fontId="1" fillId="4" borderId="28" xfId="0" applyNumberFormat="1" applyFont="1" applyFill="1" applyBorder="1" applyAlignment="1">
      <alignment horizontal="center" vertical="center" wrapText="1"/>
    </xf>
    <xf numFmtId="2" fontId="1" fillId="4" borderId="28" xfId="1" applyNumberFormat="1" applyFont="1" applyFill="1" applyBorder="1" applyAlignment="1">
      <alignment horizontal="center" vertical="center"/>
    </xf>
    <xf numFmtId="2" fontId="1" fillId="4" borderId="17" xfId="0" applyNumberFormat="1" applyFont="1" applyFill="1" applyBorder="1" applyAlignment="1">
      <alignment horizontal="center" vertical="center"/>
    </xf>
    <xf numFmtId="2" fontId="1" fillId="4" borderId="28" xfId="0" applyNumberFormat="1" applyFont="1" applyFill="1" applyBorder="1" applyAlignment="1">
      <alignment horizontal="center" vertical="center"/>
    </xf>
    <xf numFmtId="2" fontId="12" fillId="2" borderId="0" xfId="0" applyNumberFormat="1" applyFont="1" applyFill="1" applyBorder="1" applyAlignment="1">
      <alignment horizontal="left" wrapText="1"/>
    </xf>
    <xf numFmtId="0" fontId="14" fillId="2" borderId="0" xfId="0" applyFont="1" applyFill="1" applyBorder="1" applyAlignment="1">
      <alignment horizontal="left" wrapText="1"/>
    </xf>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0" fontId="2" fillId="3" borderId="28" xfId="0" applyFont="1" applyFill="1" applyBorder="1" applyAlignment="1" applyProtection="1">
      <alignment horizontal="left"/>
      <protection locked="0"/>
    </xf>
    <xf numFmtId="0" fontId="11" fillId="0" borderId="0" xfId="0" applyFont="1"/>
    <xf numFmtId="0" fontId="1" fillId="0" borderId="0" xfId="0" applyFont="1"/>
    <xf numFmtId="0" fontId="4" fillId="0" borderId="0" xfId="0" applyFont="1"/>
    <xf numFmtId="0" fontId="1" fillId="0" borderId="0" xfId="0" applyFont="1" applyBorder="1"/>
    <xf numFmtId="0" fontId="4" fillId="0" borderId="0" xfId="0" applyFont="1" applyBorder="1"/>
    <xf numFmtId="0" fontId="13" fillId="0" borderId="0" xfId="0" applyFont="1"/>
    <xf numFmtId="2" fontId="5" fillId="0" borderId="28" xfId="0" applyNumberFormat="1" applyFont="1" applyFill="1" applyBorder="1" applyAlignment="1">
      <alignment horizontal="center"/>
    </xf>
    <xf numFmtId="2" fontId="5" fillId="0" borderId="36" xfId="0" applyNumberFormat="1" applyFont="1" applyFill="1" applyBorder="1" applyAlignment="1">
      <alignment horizontal="center"/>
    </xf>
    <xf numFmtId="0" fontId="11" fillId="0" borderId="0" xfId="0" applyFont="1"/>
    <xf numFmtId="0" fontId="13" fillId="0" borderId="0" xfId="0" applyFont="1" applyBorder="1"/>
    <xf numFmtId="2" fontId="1" fillId="4" borderId="28" xfId="1" applyNumberFormat="1" applyFont="1" applyFill="1" applyBorder="1" applyAlignment="1">
      <alignment horizontal="center" vertical="center" wrapText="1"/>
    </xf>
    <xf numFmtId="0" fontId="1" fillId="0" borderId="0" xfId="0" applyFont="1" applyFill="1"/>
    <xf numFmtId="0" fontId="8" fillId="0" borderId="28" xfId="0" applyFont="1" applyFill="1" applyBorder="1" applyAlignment="1">
      <alignment horizontal="left" wrapText="1"/>
    </xf>
    <xf numFmtId="0" fontId="3" fillId="0" borderId="19" xfId="0" applyFont="1" applyFill="1" applyBorder="1" applyAlignment="1">
      <alignment horizontal="left" wrapText="1"/>
    </xf>
    <xf numFmtId="0" fontId="11" fillId="0" borderId="30" xfId="0" applyFont="1" applyFill="1" applyBorder="1" applyAlignment="1">
      <alignment horizontal="center"/>
    </xf>
    <xf numFmtId="0" fontId="0" fillId="0" borderId="8" xfId="0" applyFill="1" applyBorder="1" applyAlignment="1">
      <alignment wrapText="1"/>
    </xf>
    <xf numFmtId="2" fontId="26" fillId="0" borderId="31" xfId="0" applyNumberFormat="1" applyFont="1" applyFill="1" applyBorder="1" applyAlignment="1">
      <alignment horizontal="center"/>
    </xf>
    <xf numFmtId="0" fontId="6" fillId="0" borderId="1" xfId="0" applyFont="1" applyFill="1" applyBorder="1" applyAlignment="1">
      <alignment wrapText="1"/>
    </xf>
    <xf numFmtId="0" fontId="6" fillId="0" borderId="8" xfId="0" applyFont="1" applyFill="1" applyBorder="1" applyAlignment="1">
      <alignment wrapText="1"/>
    </xf>
    <xf numFmtId="2" fontId="5" fillId="0" borderId="38" xfId="0" applyNumberFormat="1" applyFont="1" applyFill="1" applyBorder="1" applyAlignment="1">
      <alignment horizontal="center"/>
    </xf>
    <xf numFmtId="2" fontId="5" fillId="0" borderId="40" xfId="0" applyNumberFormat="1" applyFont="1" applyFill="1" applyBorder="1" applyAlignment="1">
      <alignment horizontal="center"/>
    </xf>
    <xf numFmtId="0" fontId="22" fillId="4" borderId="19"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5" fillId="0" borderId="11" xfId="0" quotePrefix="1" applyFont="1" applyBorder="1" applyAlignment="1">
      <alignment wrapText="1"/>
    </xf>
    <xf numFmtId="0" fontId="5" fillId="0" borderId="12" xfId="0" quotePrefix="1" applyFont="1" applyBorder="1" applyAlignment="1">
      <alignment wrapText="1"/>
    </xf>
    <xf numFmtId="0" fontId="5" fillId="0" borderId="8" xfId="0" quotePrefix="1" applyFont="1" applyBorder="1" applyAlignment="1">
      <alignment wrapText="1"/>
    </xf>
    <xf numFmtId="0" fontId="5" fillId="0" borderId="1" xfId="0" quotePrefix="1" applyFont="1" applyBorder="1" applyAlignment="1">
      <alignment wrapText="1"/>
    </xf>
    <xf numFmtId="0" fontId="0" fillId="0" borderId="1" xfId="0" applyBorder="1" applyAlignment="1">
      <alignment wrapText="1"/>
    </xf>
    <xf numFmtId="0" fontId="3" fillId="0" borderId="19" xfId="0" applyFont="1" applyBorder="1" applyAlignment="1">
      <alignment horizontal="left" wrapText="1"/>
    </xf>
    <xf numFmtId="0" fontId="0" fillId="0" borderId="20" xfId="0" applyBorder="1" applyAlignment="1">
      <alignment horizontal="left" wrapText="1"/>
    </xf>
    <xf numFmtId="0" fontId="0" fillId="0" borderId="17" xfId="0" applyBorder="1" applyAlignment="1">
      <alignment horizontal="left" wrapText="1"/>
    </xf>
    <xf numFmtId="2" fontId="15" fillId="2" borderId="41" xfId="0" applyNumberFormat="1" applyFont="1" applyFill="1" applyBorder="1" applyAlignment="1">
      <alignment horizontal="left" wrapText="1"/>
    </xf>
    <xf numFmtId="0" fontId="20" fillId="2" borderId="3" xfId="0" applyFont="1" applyFill="1" applyBorder="1" applyAlignment="1">
      <alignment horizontal="left" wrapText="1"/>
    </xf>
    <xf numFmtId="0" fontId="20" fillId="2" borderId="13" xfId="0" applyFont="1" applyFill="1" applyBorder="1" applyAlignment="1">
      <alignment horizontal="left" wrapText="1"/>
    </xf>
    <xf numFmtId="0" fontId="3" fillId="0" borderId="19" xfId="0" applyFont="1" applyBorder="1" applyAlignment="1">
      <alignment wrapText="1"/>
    </xf>
    <xf numFmtId="0" fontId="7" fillId="0" borderId="20" xfId="0" applyFont="1" applyBorder="1" applyAlignment="1">
      <alignment wrapText="1"/>
    </xf>
    <xf numFmtId="0" fontId="3" fillId="2" borderId="49" xfId="0" applyFont="1" applyFill="1" applyBorder="1" applyAlignment="1">
      <alignment wrapText="1"/>
    </xf>
    <xf numFmtId="0" fontId="7" fillId="2" borderId="29" xfId="0" applyFont="1" applyFill="1" applyBorder="1" applyAlignment="1">
      <alignment wrapText="1"/>
    </xf>
    <xf numFmtId="2" fontId="15" fillId="2" borderId="29" xfId="0" applyNumberFormat="1" applyFont="1" applyFill="1" applyBorder="1" applyAlignment="1">
      <alignment horizontal="left" wrapText="1"/>
    </xf>
    <xf numFmtId="0" fontId="20" fillId="2" borderId="0" xfId="0" applyFont="1" applyFill="1" applyBorder="1" applyAlignment="1">
      <alignment horizontal="left" wrapText="1"/>
    </xf>
    <xf numFmtId="2" fontId="23" fillId="4" borderId="19" xfId="0" applyNumberFormat="1" applyFont="1" applyFill="1" applyBorder="1" applyAlignment="1">
      <alignment horizontal="center" wrapText="1"/>
    </xf>
    <xf numFmtId="2" fontId="23" fillId="4" borderId="17" xfId="0" applyNumberFormat="1" applyFont="1" applyFill="1" applyBorder="1" applyAlignment="1">
      <alignment horizontal="center" wrapText="1"/>
    </xf>
    <xf numFmtId="0" fontId="5" fillId="0" borderId="32" xfId="0" applyFont="1" applyBorder="1" applyAlignment="1">
      <alignment horizontal="left" wrapText="1"/>
    </xf>
    <xf numFmtId="0" fontId="0" fillId="0" borderId="12" xfId="0" applyBorder="1" applyAlignment="1">
      <alignment horizontal="left" wrapText="1"/>
    </xf>
    <xf numFmtId="0" fontId="0" fillId="0" borderId="8" xfId="0" applyBorder="1" applyAlignment="1">
      <alignment horizontal="left" wrapText="1"/>
    </xf>
    <xf numFmtId="0" fontId="5" fillId="0" borderId="41" xfId="0" applyFont="1" applyBorder="1" applyAlignment="1">
      <alignment horizontal="left" wrapText="1"/>
    </xf>
    <xf numFmtId="0" fontId="0" fillId="0" borderId="3" xfId="0" applyBorder="1" applyAlignment="1">
      <alignment horizontal="left" wrapText="1"/>
    </xf>
    <xf numFmtId="0" fontId="0" fillId="0" borderId="13" xfId="0" applyBorder="1" applyAlignment="1">
      <alignment horizontal="left" wrapText="1"/>
    </xf>
    <xf numFmtId="0" fontId="3" fillId="0" borderId="20" xfId="0" applyFont="1" applyBorder="1" applyAlignment="1">
      <alignment wrapText="1"/>
    </xf>
    <xf numFmtId="0" fontId="0" fillId="0" borderId="17" xfId="0" applyBorder="1" applyAlignment="1">
      <alignment wrapText="1"/>
    </xf>
    <xf numFmtId="0" fontId="3" fillId="0" borderId="19" xfId="0" applyFont="1" applyBorder="1" applyAlignment="1"/>
    <xf numFmtId="0" fontId="3" fillId="0" borderId="20" xfId="0" applyFont="1" applyBorder="1" applyAlignment="1"/>
    <xf numFmtId="0" fontId="3" fillId="0" borderId="17" xfId="0" applyFont="1" applyBorder="1" applyAlignment="1"/>
    <xf numFmtId="0" fontId="1" fillId="0" borderId="13" xfId="0" applyFont="1" applyBorder="1" applyAlignment="1">
      <alignment wrapText="1"/>
    </xf>
    <xf numFmtId="0" fontId="6" fillId="0" borderId="10" xfId="0" applyFont="1" applyBorder="1" applyAlignment="1">
      <alignment wrapText="1"/>
    </xf>
    <xf numFmtId="0" fontId="1" fillId="0" borderId="55" xfId="0" quotePrefix="1" applyFont="1" applyBorder="1" applyAlignment="1">
      <alignment horizontal="right" wrapText="1"/>
    </xf>
    <xf numFmtId="0" fontId="3" fillId="2" borderId="0" xfId="0" applyFont="1" applyFill="1" applyBorder="1" applyAlignment="1">
      <alignment wrapText="1"/>
    </xf>
    <xf numFmtId="0" fontId="1" fillId="2" borderId="0" xfId="0" applyFont="1" applyFill="1" applyBorder="1" applyAlignment="1">
      <alignment wrapText="1"/>
    </xf>
    <xf numFmtId="0" fontId="1" fillId="2" borderId="19" xfId="0" applyFont="1" applyFill="1" applyBorder="1" applyAlignment="1">
      <alignment horizontal="left" vertical="center"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1" fillId="0" borderId="14" xfId="0" applyFont="1" applyBorder="1" applyAlignment="1">
      <alignment horizontal="right"/>
    </xf>
    <xf numFmtId="0" fontId="1" fillId="0" borderId="15" xfId="0" applyFont="1" applyBorder="1" applyAlignment="1">
      <alignment horizontal="right"/>
    </xf>
    <xf numFmtId="0" fontId="1" fillId="0" borderId="16" xfId="0" applyFont="1" applyBorder="1" applyAlignment="1">
      <alignment horizontal="right"/>
    </xf>
    <xf numFmtId="0" fontId="3" fillId="4" borderId="62" xfId="0" applyFont="1" applyFill="1" applyBorder="1" applyAlignment="1">
      <alignment wrapText="1"/>
    </xf>
    <xf numFmtId="0" fontId="0" fillId="4" borderId="24" xfId="0" applyFill="1" applyBorder="1" applyAlignment="1">
      <alignment wrapText="1"/>
    </xf>
    <xf numFmtId="0" fontId="0" fillId="4" borderId="63" xfId="0" applyFill="1" applyBorder="1" applyAlignment="1">
      <alignment wrapText="1"/>
    </xf>
    <xf numFmtId="0" fontId="16" fillId="0" borderId="19" xfId="0" applyFont="1" applyBorder="1" applyAlignment="1">
      <alignment wrapText="1"/>
    </xf>
    <xf numFmtId="0" fontId="0" fillId="0" borderId="20" xfId="0" applyBorder="1" applyAlignment="1"/>
    <xf numFmtId="0" fontId="0" fillId="0" borderId="17" xfId="0" applyBorder="1" applyAlignment="1"/>
    <xf numFmtId="0" fontId="3" fillId="4" borderId="19" xfId="0" applyFont="1" applyFill="1" applyBorder="1" applyAlignment="1">
      <alignment horizontal="center" vertical="center" wrapText="1"/>
    </xf>
    <xf numFmtId="0" fontId="1" fillId="0" borderId="17" xfId="0" applyFont="1" applyBorder="1" applyAlignment="1">
      <alignment horizontal="center" vertical="center" wrapText="1"/>
    </xf>
    <xf numFmtId="0" fontId="5" fillId="0" borderId="11" xfId="0" quotePrefix="1" applyFont="1" applyFill="1" applyBorder="1" applyAlignment="1">
      <alignment wrapText="1"/>
    </xf>
    <xf numFmtId="0" fontId="5" fillId="0" borderId="12" xfId="0" quotePrefix="1" applyFont="1" applyFill="1" applyBorder="1" applyAlignment="1">
      <alignment wrapText="1"/>
    </xf>
    <xf numFmtId="0" fontId="5" fillId="0" borderId="8" xfId="0" quotePrefix="1" applyFont="1" applyFill="1" applyBorder="1" applyAlignment="1">
      <alignment wrapText="1"/>
    </xf>
    <xf numFmtId="0" fontId="21" fillId="0" borderId="19" xfId="0" applyFont="1" applyBorder="1" applyAlignment="1">
      <alignment vertical="center" wrapText="1"/>
    </xf>
    <xf numFmtId="0" fontId="20" fillId="0" borderId="20" xfId="0" applyFont="1" applyBorder="1" applyAlignment="1">
      <alignment vertical="center" wrapText="1"/>
    </xf>
    <xf numFmtId="0" fontId="20" fillId="0" borderId="17" xfId="0" applyFont="1" applyBorder="1" applyAlignment="1">
      <alignment vertical="center" wrapText="1"/>
    </xf>
    <xf numFmtId="0" fontId="8" fillId="0" borderId="27" xfId="0" applyFont="1" applyBorder="1" applyAlignment="1">
      <alignment wrapText="1"/>
    </xf>
    <xf numFmtId="0" fontId="8" fillId="0" borderId="21" xfId="0" applyFont="1" applyBorder="1" applyAlignment="1">
      <alignment wrapText="1"/>
    </xf>
    <xf numFmtId="0" fontId="5" fillId="0" borderId="0" xfId="0" applyFont="1" applyBorder="1" applyAlignment="1">
      <alignment wrapText="1"/>
    </xf>
    <xf numFmtId="0" fontId="5" fillId="0" borderId="24" xfId="0" applyFont="1" applyBorder="1" applyAlignment="1">
      <alignment wrapText="1"/>
    </xf>
    <xf numFmtId="0" fontId="5" fillId="2" borderId="25" xfId="0" applyFont="1" applyFill="1" applyBorder="1" applyAlignment="1">
      <alignment wrapText="1"/>
    </xf>
    <xf numFmtId="0" fontId="5" fillId="2" borderId="26" xfId="0" applyFont="1" applyFill="1" applyBorder="1" applyAlignment="1">
      <alignment wrapText="1"/>
    </xf>
    <xf numFmtId="0" fontId="5" fillId="2" borderId="11" xfId="0" applyFont="1" applyFill="1" applyBorder="1" applyAlignment="1">
      <alignment wrapText="1"/>
    </xf>
    <xf numFmtId="0" fontId="5" fillId="2" borderId="8" xfId="0" applyFont="1" applyFill="1" applyBorder="1" applyAlignment="1">
      <alignment wrapText="1"/>
    </xf>
    <xf numFmtId="0" fontId="0" fillId="0" borderId="17" xfId="0" applyBorder="1" applyAlignment="1">
      <alignment horizontal="center" vertical="center" wrapText="1"/>
    </xf>
    <xf numFmtId="0" fontId="1" fillId="0" borderId="19" xfId="0" applyFont="1" applyBorder="1" applyAlignment="1">
      <alignment horizontal="right" wrapText="1"/>
    </xf>
    <xf numFmtId="0" fontId="0" fillId="0" borderId="20" xfId="0" applyBorder="1" applyAlignment="1">
      <alignment wrapText="1"/>
    </xf>
    <xf numFmtId="0" fontId="7" fillId="0" borderId="17" xfId="0" applyFont="1" applyBorder="1" applyAlignment="1">
      <alignment horizontal="center" vertical="center" wrapText="1"/>
    </xf>
    <xf numFmtId="0" fontId="5" fillId="2" borderId="59" xfId="0" applyFont="1" applyFill="1" applyBorder="1" applyAlignment="1">
      <alignment wrapText="1"/>
    </xf>
    <xf numFmtId="0" fontId="5" fillId="2" borderId="50" xfId="0" applyFont="1" applyFill="1" applyBorder="1" applyAlignment="1">
      <alignment wrapText="1"/>
    </xf>
    <xf numFmtId="0" fontId="5" fillId="2" borderId="18" xfId="0" applyFont="1" applyFill="1" applyBorder="1" applyAlignment="1">
      <alignment wrapText="1"/>
    </xf>
    <xf numFmtId="0" fontId="5" fillId="2" borderId="13" xfId="0" applyFont="1" applyFill="1" applyBorder="1" applyAlignment="1">
      <alignment wrapText="1"/>
    </xf>
    <xf numFmtId="0" fontId="7" fillId="0" borderId="15" xfId="0" applyFont="1" applyBorder="1" applyAlignment="1">
      <alignment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2" fontId="15" fillId="2" borderId="19" xfId="0" applyNumberFormat="1" applyFont="1" applyFill="1" applyBorder="1" applyAlignment="1">
      <alignment horizontal="left" wrapText="1"/>
    </xf>
    <xf numFmtId="0" fontId="20" fillId="2" borderId="20" xfId="0" applyFont="1" applyFill="1" applyBorder="1" applyAlignment="1">
      <alignment horizontal="left" wrapText="1"/>
    </xf>
    <xf numFmtId="0" fontId="20" fillId="2" borderId="17" xfId="0" applyFont="1" applyFill="1" applyBorder="1" applyAlignment="1">
      <alignment horizontal="left" wrapText="1"/>
    </xf>
    <xf numFmtId="0" fontId="1" fillId="0" borderId="25" xfId="0" applyFont="1" applyBorder="1" applyAlignment="1">
      <alignment horizontal="left" wrapText="1"/>
    </xf>
    <xf numFmtId="0" fontId="1" fillId="0" borderId="39" xfId="0" applyFont="1" applyBorder="1" applyAlignment="1">
      <alignment horizontal="left" wrapText="1"/>
    </xf>
    <xf numFmtId="0" fontId="1" fillId="0" borderId="26" xfId="0" applyFont="1" applyBorder="1" applyAlignment="1">
      <alignment horizontal="left" wrapText="1"/>
    </xf>
    <xf numFmtId="0" fontId="17" fillId="0" borderId="0" xfId="0" applyFont="1" applyAlignment="1">
      <alignment horizontal="center" wrapText="1"/>
    </xf>
    <xf numFmtId="0" fontId="18" fillId="0" borderId="0" xfId="0" applyFont="1" applyAlignment="1">
      <alignment horizontal="center" wrapText="1"/>
    </xf>
    <xf numFmtId="0" fontId="2" fillId="0" borderId="0" xfId="0" applyFont="1" applyAlignment="1">
      <alignment horizontal="center"/>
    </xf>
    <xf numFmtId="0" fontId="0" fillId="0" borderId="0" xfId="0" applyAlignment="1">
      <alignment horizontal="center"/>
    </xf>
    <xf numFmtId="0" fontId="1" fillId="0" borderId="3" xfId="0" applyFont="1" applyBorder="1" applyAlignment="1">
      <alignment wrapText="1"/>
    </xf>
    <xf numFmtId="0" fontId="6" fillId="0" borderId="3" xfId="0" applyFont="1" applyBorder="1" applyAlignment="1">
      <alignment wrapText="1"/>
    </xf>
    <xf numFmtId="0" fontId="6" fillId="0" borderId="13" xfId="0" applyFont="1" applyBorder="1" applyAlignment="1">
      <alignment wrapText="1"/>
    </xf>
    <xf numFmtId="0" fontId="1" fillId="0" borderId="54" xfId="0" applyFont="1" applyBorder="1" applyAlignment="1">
      <alignment wrapText="1"/>
    </xf>
    <xf numFmtId="0" fontId="6" fillId="0" borderId="54" xfId="0" applyFont="1" applyBorder="1" applyAlignment="1">
      <alignment wrapText="1"/>
    </xf>
    <xf numFmtId="0" fontId="6" fillId="0" borderId="2" xfId="0" applyFont="1" applyBorder="1" applyAlignment="1">
      <alignment wrapText="1"/>
    </xf>
    <xf numFmtId="0" fontId="7" fillId="0" borderId="20" xfId="0" applyFont="1" applyBorder="1" applyAlignment="1">
      <alignment horizontal="left" wrapText="1"/>
    </xf>
    <xf numFmtId="0" fontId="1" fillId="0" borderId="15" xfId="0" applyFont="1" applyBorder="1" applyAlignment="1">
      <alignment horizontal="right" wrapText="1"/>
    </xf>
    <xf numFmtId="0" fontId="1" fillId="0" borderId="27" xfId="0" applyFont="1" applyBorder="1" applyAlignment="1">
      <alignment horizontal="right" wrapText="1"/>
    </xf>
    <xf numFmtId="0" fontId="1" fillId="0" borderId="20" xfId="0" applyFont="1" applyBorder="1" applyAlignment="1">
      <alignment horizontal="right" wrapText="1"/>
    </xf>
    <xf numFmtId="0" fontId="1" fillId="0" borderId="27" xfId="0" quotePrefix="1" applyFont="1" applyBorder="1" applyAlignment="1">
      <alignment horizontal="right" wrapText="1"/>
    </xf>
    <xf numFmtId="0" fontId="1" fillId="0" borderId="20" xfId="0" quotePrefix="1" applyFont="1" applyBorder="1" applyAlignment="1">
      <alignment horizontal="right" wrapText="1"/>
    </xf>
    <xf numFmtId="0" fontId="1" fillId="0" borderId="21" xfId="0" quotePrefix="1" applyFont="1" applyBorder="1" applyAlignment="1">
      <alignment horizontal="right" wrapText="1"/>
    </xf>
    <xf numFmtId="0" fontId="1" fillId="0" borderId="8" xfId="0" applyFont="1" applyBorder="1" applyAlignment="1">
      <alignment wrapText="1"/>
    </xf>
    <xf numFmtId="0" fontId="6" fillId="0" borderId="1" xfId="0" applyFont="1" applyBorder="1" applyAlignment="1">
      <alignment wrapText="1"/>
    </xf>
    <xf numFmtId="0" fontId="1" fillId="0" borderId="2" xfId="0" applyFont="1" applyBorder="1" applyAlignment="1">
      <alignment wrapText="1"/>
    </xf>
    <xf numFmtId="0" fontId="6" fillId="0" borderId="9" xfId="0" applyFont="1" applyBorder="1" applyAlignment="1">
      <alignment wrapText="1"/>
    </xf>
    <xf numFmtId="0" fontId="5" fillId="0" borderId="2" xfId="0" quotePrefix="1" applyFont="1" applyBorder="1" applyAlignment="1">
      <alignment wrapText="1"/>
    </xf>
    <xf numFmtId="0" fontId="1" fillId="0" borderId="19" xfId="0" applyFont="1" applyBorder="1" applyAlignment="1">
      <alignment horizontal="left" wrapText="1"/>
    </xf>
    <xf numFmtId="0" fontId="5" fillId="2" borderId="46" xfId="0" applyFont="1" applyFill="1" applyBorder="1" applyAlignment="1">
      <alignment horizontal="left" wrapText="1"/>
    </xf>
    <xf numFmtId="0" fontId="5" fillId="2" borderId="48" xfId="0" applyFont="1" applyFill="1" applyBorder="1" applyAlignment="1">
      <alignment horizontal="left" wrapText="1"/>
    </xf>
    <xf numFmtId="0" fontId="5" fillId="2" borderId="47" xfId="0" applyFont="1" applyFill="1" applyBorder="1" applyAlignment="1">
      <alignment horizontal="left" wrapText="1"/>
    </xf>
    <xf numFmtId="2" fontId="16" fillId="0" borderId="19" xfId="0" applyNumberFormat="1" applyFont="1" applyFill="1" applyBorder="1" applyAlignment="1">
      <alignment horizontal="left" wrapText="1"/>
    </xf>
    <xf numFmtId="0" fontId="25" fillId="0" borderId="20" xfId="0" applyFont="1" applyBorder="1" applyAlignment="1">
      <alignment horizontal="left"/>
    </xf>
    <xf numFmtId="0" fontId="25" fillId="0" borderId="17" xfId="0" applyFont="1" applyBorder="1" applyAlignment="1">
      <alignment horizontal="left"/>
    </xf>
    <xf numFmtId="0" fontId="5" fillId="0" borderId="61" xfId="0" quotePrefix="1" applyFont="1" applyBorder="1" applyAlignment="1">
      <alignment wrapText="1"/>
    </xf>
    <xf numFmtId="0" fontId="0" fillId="0" borderId="54" xfId="0" applyBorder="1" applyAlignment="1">
      <alignment wrapText="1"/>
    </xf>
    <xf numFmtId="0" fontId="0" fillId="0" borderId="8" xfId="0" applyBorder="1" applyAlignment="1">
      <alignment wrapText="1"/>
    </xf>
    <xf numFmtId="0" fontId="0" fillId="0" borderId="12" xfId="0" applyBorder="1" applyAlignment="1">
      <alignment wrapText="1"/>
    </xf>
    <xf numFmtId="0" fontId="5" fillId="0" borderId="1" xfId="0" quotePrefix="1" applyFont="1" applyFill="1" applyBorder="1" applyAlignment="1">
      <alignment wrapText="1"/>
    </xf>
    <xf numFmtId="0" fontId="0" fillId="0" borderId="1" xfId="0" applyFill="1" applyBorder="1" applyAlignment="1">
      <alignment wrapText="1"/>
    </xf>
    <xf numFmtId="0" fontId="1" fillId="0" borderId="55" xfId="0" quotePrefix="1" applyFont="1" applyFill="1" applyBorder="1" applyAlignment="1">
      <alignment horizontal="right" wrapText="1"/>
    </xf>
    <xf numFmtId="0" fontId="3" fillId="0" borderId="19" xfId="0" applyFont="1" applyFill="1" applyBorder="1" applyAlignment="1">
      <alignment horizontal="left" wrapText="1"/>
    </xf>
    <xf numFmtId="0" fontId="0" fillId="0" borderId="20" xfId="0" applyFill="1" applyBorder="1" applyAlignment="1">
      <alignment horizontal="left" wrapText="1"/>
    </xf>
    <xf numFmtId="0" fontId="0" fillId="0" borderId="17" xfId="0" applyFill="1" applyBorder="1" applyAlignment="1">
      <alignment horizontal="left" wrapText="1"/>
    </xf>
    <xf numFmtId="2" fontId="15" fillId="0" borderId="41" xfId="0" applyNumberFormat="1" applyFont="1" applyFill="1" applyBorder="1" applyAlignment="1">
      <alignment horizontal="left" wrapText="1"/>
    </xf>
    <xf numFmtId="0" fontId="20" fillId="0" borderId="3" xfId="0" applyFont="1" applyFill="1" applyBorder="1" applyAlignment="1">
      <alignment horizontal="left" wrapText="1"/>
    </xf>
    <xf numFmtId="0" fontId="20" fillId="0" borderId="13" xfId="0" applyFont="1" applyFill="1" applyBorder="1" applyAlignment="1">
      <alignment horizontal="left" wrapText="1"/>
    </xf>
    <xf numFmtId="0" fontId="3" fillId="4" borderId="19" xfId="1" applyFont="1" applyFill="1" applyBorder="1" applyAlignment="1">
      <alignment horizontal="center" vertical="center" wrapText="1"/>
    </xf>
    <xf numFmtId="0" fontId="1" fillId="0" borderId="17" xfId="1" applyFont="1" applyBorder="1" applyAlignment="1">
      <alignment horizontal="center" vertical="center" wrapText="1"/>
    </xf>
    <xf numFmtId="0" fontId="1" fillId="0" borderId="17" xfId="0" applyFont="1" applyBorder="1" applyAlignment="1">
      <alignment horizontal="right" wrapText="1"/>
    </xf>
    <xf numFmtId="2" fontId="3" fillId="2" borderId="4" xfId="0" applyNumberFormat="1" applyFont="1" applyFill="1" applyBorder="1"/>
    <xf numFmtId="0" fontId="5" fillId="2" borderId="1" xfId="1" applyFont="1" applyFill="1" applyBorder="1" applyAlignment="1">
      <alignment wrapText="1"/>
    </xf>
    <xf numFmtId="0" fontId="3" fillId="0" borderId="28" xfId="1" applyFont="1" applyBorder="1" applyAlignment="1">
      <alignment wrapText="1"/>
    </xf>
    <xf numFmtId="0" fontId="11" fillId="0" borderId="0" xfId="0" applyFont="1" applyFill="1" applyBorder="1"/>
    <xf numFmtId="164" fontId="11" fillId="0" borderId="0" xfId="0" applyNumberFormat="1" applyFont="1" applyFill="1" applyAlignment="1">
      <alignment wrapText="1"/>
    </xf>
    <xf numFmtId="0" fontId="11" fillId="0" borderId="0" xfId="0" applyFont="1" applyFill="1"/>
    <xf numFmtId="17" fontId="11" fillId="0" borderId="0" xfId="0" applyNumberFormat="1" applyFont="1"/>
    <xf numFmtId="2" fontId="11" fillId="0" borderId="0" xfId="0" applyNumberFormat="1" applyFont="1"/>
    <xf numFmtId="0" fontId="30" fillId="0" borderId="0" xfId="0" applyFont="1" applyAlignment="1">
      <alignment horizontal="center" wrapText="1"/>
    </xf>
    <xf numFmtId="0" fontId="10" fillId="0" borderId="0" xfId="0" applyFont="1" applyAlignment="1">
      <alignment horizontal="center"/>
    </xf>
    <xf numFmtId="0" fontId="26" fillId="0" borderId="0" xfId="0" applyFont="1" applyBorder="1" applyAlignment="1">
      <alignment horizontal="left" wrapText="1"/>
    </xf>
    <xf numFmtId="0" fontId="31" fillId="0" borderId="0" xfId="0" applyFont="1" applyFill="1" applyBorder="1" applyAlignment="1" applyProtection="1">
      <alignment horizontal="left"/>
      <protection locked="0"/>
    </xf>
    <xf numFmtId="0" fontId="26" fillId="0" borderId="0" xfId="0" applyFont="1" applyBorder="1" applyAlignment="1">
      <alignment horizontal="left" wrapText="1"/>
    </xf>
    <xf numFmtId="0" fontId="10" fillId="0" borderId="0" xfId="0" applyFont="1" applyBorder="1" applyAlignment="1">
      <alignment horizontal="left" wrapText="1"/>
    </xf>
    <xf numFmtId="0" fontId="31" fillId="0" borderId="0" xfId="0" applyFont="1" applyBorder="1"/>
    <xf numFmtId="0" fontId="31" fillId="0" borderId="0" xfId="0" applyFont="1" applyFill="1" applyBorder="1"/>
    <xf numFmtId="2" fontId="26" fillId="0" borderId="0" xfId="0" applyNumberFormat="1" applyFont="1" applyFill="1" applyBorder="1" applyAlignment="1">
      <alignment horizontal="center"/>
    </xf>
    <xf numFmtId="0" fontId="10" fillId="0" borderId="0" xfId="0" applyFont="1" applyFill="1" applyBorder="1" applyAlignment="1">
      <alignment wrapText="1"/>
    </xf>
    <xf numFmtId="0" fontId="32" fillId="0" borderId="0" xfId="0" applyFont="1" applyFill="1"/>
    <xf numFmtId="0" fontId="33" fillId="0" borderId="0" xfId="0" applyFont="1" applyFill="1" applyBorder="1" applyAlignment="1">
      <alignment wrapText="1"/>
    </xf>
    <xf numFmtId="0" fontId="29" fillId="0" borderId="0" xfId="0" applyFont="1" applyFill="1" applyBorder="1" applyAlignment="1">
      <alignment wrapText="1"/>
    </xf>
    <xf numFmtId="1" fontId="26" fillId="0" borderId="0" xfId="0" applyNumberFormat="1" applyFont="1" applyFill="1" applyBorder="1" applyAlignment="1">
      <alignment horizontal="center"/>
    </xf>
    <xf numFmtId="2" fontId="26" fillId="0" borderId="0" xfId="0" applyNumberFormat="1" applyFont="1" applyFill="1" applyBorder="1" applyAlignment="1">
      <alignment horizontal="center" wrapText="1"/>
    </xf>
    <xf numFmtId="0" fontId="26" fillId="0" borderId="0" xfId="0" applyFont="1" applyFill="1" applyBorder="1" applyAlignment="1">
      <alignment horizontal="center" wrapText="1"/>
    </xf>
    <xf numFmtId="0" fontId="11" fillId="2" borderId="0" xfId="0" applyFont="1" applyFill="1" applyBorder="1"/>
    <xf numFmtId="0" fontId="10" fillId="0" borderId="0" xfId="0" applyFont="1" applyFill="1" applyBorder="1"/>
    <xf numFmtId="2" fontId="26" fillId="2" borderId="0" xfId="0" applyNumberFormat="1" applyFont="1" applyFill="1" applyBorder="1" applyAlignment="1">
      <alignment horizontal="left" wrapText="1"/>
    </xf>
    <xf numFmtId="2" fontId="11" fillId="0" borderId="0" xfId="0" applyNumberFormat="1" applyFont="1" applyFill="1" applyBorder="1" applyAlignment="1" applyProtection="1">
      <alignment horizontal="left"/>
      <protection locked="0"/>
    </xf>
    <xf numFmtId="0" fontId="11" fillId="0" borderId="0" xfId="0" applyFont="1" applyFill="1" applyBorder="1" applyAlignment="1">
      <alignment horizontal="center"/>
    </xf>
    <xf numFmtId="0" fontId="34" fillId="0" borderId="0" xfId="0" applyFont="1" applyFill="1" applyBorder="1" applyAlignment="1">
      <alignment horizontal="center" vertical="center"/>
    </xf>
    <xf numFmtId="0" fontId="33" fillId="0" borderId="0" xfId="0" applyFont="1" applyFill="1" applyBorder="1" applyAlignment="1">
      <alignment vertical="center" wrapText="1"/>
    </xf>
    <xf numFmtId="0" fontId="35" fillId="0" borderId="0" xfId="0" applyFont="1" applyFill="1" applyBorder="1" applyAlignment="1">
      <alignment wrapText="1"/>
    </xf>
    <xf numFmtId="0" fontId="26" fillId="0" borderId="0" xfId="0" applyFont="1" applyFill="1" applyBorder="1" applyAlignment="1">
      <alignment wrapText="1"/>
    </xf>
    <xf numFmtId="2" fontId="36" fillId="0" borderId="0" xfId="0" applyNumberFormat="1" applyFont="1" applyFill="1" applyBorder="1" applyAlignment="1">
      <alignment horizontal="center" wrapText="1"/>
    </xf>
    <xf numFmtId="0" fontId="11" fillId="0" borderId="0" xfId="0" applyFont="1" applyFill="1" applyBorder="1" applyAlignment="1">
      <alignment horizontal="left"/>
    </xf>
    <xf numFmtId="0" fontId="1" fillId="3" borderId="57" xfId="1" applyFont="1" applyFill="1" applyBorder="1" applyAlignment="1" applyProtection="1">
      <alignment horizontal="left"/>
      <protection locked="0"/>
    </xf>
    <xf numFmtId="0" fontId="1" fillId="3" borderId="58" xfId="1" applyFont="1" applyFill="1" applyBorder="1" applyProtection="1">
      <protection locked="0"/>
    </xf>
  </cellXfs>
  <cellStyles count="2">
    <cellStyle name="Normal" xfId="0" builtinId="0"/>
    <cellStyle name="Normal 2" xfId="1"/>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581500</xdr:colOff>
      <xdr:row>0</xdr:row>
      <xdr:rowOff>142876</xdr:rowOff>
    </xdr:from>
    <xdr:to>
      <xdr:col>3</xdr:col>
      <xdr:colOff>16249</xdr:colOff>
      <xdr:row>2</xdr:row>
      <xdr:rowOff>466029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500" y="142876"/>
          <a:ext cx="1294925" cy="9242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95"/>
  <sheetViews>
    <sheetView tabSelected="1" topLeftCell="C181" zoomScale="80" zoomScaleNormal="80" workbookViewId="0">
      <selection activeCell="C188" sqref="C188"/>
    </sheetView>
  </sheetViews>
  <sheetFormatPr baseColWidth="10" defaultRowHeight="15.75" x14ac:dyDescent="0.25"/>
  <cols>
    <col min="1" max="1" width="11.42578125" style="20"/>
    <col min="2" max="2" width="11.42578125" style="1" customWidth="1"/>
    <col min="3" max="3" width="16.42578125" style="1" customWidth="1"/>
    <col min="4" max="4" width="11.42578125" style="1" customWidth="1"/>
    <col min="5" max="5" width="10.42578125" style="1" customWidth="1"/>
    <col min="6" max="6" width="14.7109375" style="1" customWidth="1"/>
    <col min="7" max="7" width="23.5703125" style="1" customWidth="1"/>
    <col min="8" max="8" width="45.28515625" style="1" customWidth="1"/>
    <col min="9" max="9" width="18.42578125" style="1" customWidth="1"/>
    <col min="10" max="15" width="18.42578125" style="163" customWidth="1"/>
    <col min="16" max="16" width="9.42578125" style="163" customWidth="1"/>
    <col min="17" max="17" width="2.5703125" style="163" customWidth="1"/>
    <col min="18" max="18" width="2.42578125" style="163" customWidth="1"/>
    <col min="19" max="19" width="14.5703125" style="307" customWidth="1"/>
    <col min="20" max="20" width="12.140625" style="307" customWidth="1"/>
    <col min="21" max="21" width="11.42578125" style="307"/>
    <col min="22" max="22" width="24.7109375" style="307" customWidth="1"/>
    <col min="23" max="23" width="18.85546875" style="163" customWidth="1"/>
    <col min="24" max="27" width="11.42578125" style="163"/>
    <col min="28" max="28" width="11.42578125" style="160"/>
    <col min="29" max="29" width="11.42578125" style="26"/>
    <col min="30" max="16384" width="11.42578125" style="1"/>
  </cols>
  <sheetData>
    <row r="1" spans="3:34" x14ac:dyDescent="0.25">
      <c r="H1" s="1" t="s">
        <v>98</v>
      </c>
      <c r="U1" s="308">
        <f>ROUND(0.153*(X2/X3),3)</f>
        <v>0.18</v>
      </c>
      <c r="V1" s="309" t="s">
        <v>54</v>
      </c>
      <c r="W1" s="309"/>
      <c r="X1" s="163" t="s">
        <v>55</v>
      </c>
      <c r="AD1" s="14"/>
      <c r="AE1" s="14"/>
      <c r="AF1" s="14"/>
      <c r="AG1" s="14"/>
      <c r="AH1" s="14"/>
    </row>
    <row r="2" spans="3:34" x14ac:dyDescent="0.25">
      <c r="U2" s="163"/>
      <c r="V2" s="163" t="s">
        <v>5</v>
      </c>
      <c r="W2" s="310">
        <v>45536</v>
      </c>
      <c r="X2" s="311">
        <v>132.41</v>
      </c>
      <c r="AD2" s="14"/>
      <c r="AE2" s="14"/>
      <c r="AF2" s="14"/>
      <c r="AG2" s="14"/>
      <c r="AH2" s="14"/>
    </row>
    <row r="3" spans="3:34" ht="63.75" customHeight="1" x14ac:dyDescent="0.35">
      <c r="F3" s="259" t="s">
        <v>30</v>
      </c>
      <c r="G3" s="260"/>
      <c r="H3" s="260"/>
      <c r="I3" s="260"/>
      <c r="J3" s="312"/>
      <c r="K3" s="312"/>
      <c r="L3" s="312"/>
      <c r="M3" s="312"/>
      <c r="N3" s="312"/>
      <c r="O3" s="312"/>
      <c r="U3" s="163"/>
      <c r="V3" s="163"/>
      <c r="W3" s="310">
        <v>44440</v>
      </c>
      <c r="X3" s="163">
        <v>112.29</v>
      </c>
      <c r="AD3" s="14"/>
      <c r="AE3" s="14"/>
      <c r="AF3" s="14"/>
      <c r="AG3" s="14"/>
      <c r="AH3" s="14"/>
    </row>
    <row r="4" spans="3:34" ht="38.25" customHeight="1" x14ac:dyDescent="0.25">
      <c r="F4" s="261" t="s">
        <v>4</v>
      </c>
      <c r="G4" s="262"/>
      <c r="H4" s="262"/>
      <c r="I4" s="262"/>
      <c r="J4" s="313"/>
      <c r="K4" s="313"/>
      <c r="L4" s="313"/>
      <c r="M4" s="313"/>
      <c r="N4" s="313"/>
      <c r="O4" s="313"/>
      <c r="U4" s="163"/>
      <c r="V4" s="163" t="s">
        <v>56</v>
      </c>
      <c r="X4" s="311">
        <f>(X2/X3)</f>
        <v>1.1791789117463709</v>
      </c>
      <c r="AD4" s="14"/>
      <c r="AE4" s="14"/>
      <c r="AF4" s="14"/>
      <c r="AG4" s="14"/>
      <c r="AH4" s="14"/>
    </row>
    <row r="5" spans="3:34" s="89" customFormat="1" ht="38.25" customHeight="1" x14ac:dyDescent="0.25">
      <c r="F5" s="119"/>
      <c r="G5" s="120"/>
      <c r="H5" s="120"/>
      <c r="I5" s="120"/>
      <c r="J5" s="313"/>
      <c r="K5" s="313"/>
      <c r="L5" s="313"/>
      <c r="M5" s="313"/>
      <c r="N5" s="313"/>
      <c r="O5" s="313"/>
      <c r="P5" s="163"/>
      <c r="Q5" s="163"/>
      <c r="R5" s="163"/>
      <c r="S5" s="307"/>
      <c r="T5" s="307"/>
      <c r="U5" s="163"/>
      <c r="V5" s="163"/>
      <c r="W5" s="163"/>
      <c r="X5" s="311"/>
      <c r="Y5" s="163"/>
      <c r="Z5" s="163"/>
      <c r="AA5" s="163"/>
      <c r="AB5" s="160"/>
      <c r="AC5" s="95"/>
      <c r="AD5" s="92"/>
      <c r="AE5" s="92"/>
      <c r="AF5" s="92"/>
      <c r="AG5" s="92"/>
      <c r="AH5" s="92"/>
    </row>
    <row r="6" spans="3:34" x14ac:dyDescent="0.25">
      <c r="C6" s="122" t="s">
        <v>100</v>
      </c>
      <c r="U6" s="163"/>
      <c r="V6" s="163"/>
      <c r="AD6" s="14"/>
      <c r="AE6" s="14"/>
      <c r="AF6" s="14"/>
      <c r="AG6" s="14"/>
      <c r="AH6" s="14"/>
    </row>
    <row r="7" spans="3:34" s="3" customFormat="1" x14ac:dyDescent="0.25">
      <c r="C7" s="121" t="s">
        <v>82</v>
      </c>
      <c r="H7" s="4"/>
      <c r="J7" s="93"/>
      <c r="K7" s="93"/>
      <c r="L7" s="93"/>
      <c r="M7" s="93"/>
      <c r="N7" s="93"/>
      <c r="O7" s="93"/>
      <c r="P7" s="93"/>
      <c r="Q7" s="93"/>
      <c r="R7" s="93"/>
      <c r="S7" s="307"/>
      <c r="T7" s="307"/>
      <c r="U7" s="163"/>
      <c r="V7" s="163"/>
      <c r="W7" s="163"/>
      <c r="X7" s="163"/>
      <c r="Y7" s="163"/>
      <c r="Z7" s="163"/>
      <c r="AA7" s="93"/>
      <c r="AB7" s="164"/>
      <c r="AC7" s="16"/>
      <c r="AD7" s="15"/>
      <c r="AE7" s="15"/>
      <c r="AF7" s="15"/>
      <c r="AG7" s="15"/>
      <c r="AH7" s="15"/>
    </row>
    <row r="8" spans="3:34" s="3" customFormat="1" x14ac:dyDescent="0.25">
      <c r="H8" s="4"/>
      <c r="J8" s="93"/>
      <c r="K8" s="93"/>
      <c r="L8" s="93"/>
      <c r="M8" s="93"/>
      <c r="N8" s="93"/>
      <c r="O8" s="93"/>
      <c r="P8" s="93"/>
      <c r="Q8" s="93"/>
      <c r="R8" s="93"/>
      <c r="S8" s="307"/>
      <c r="T8" s="307"/>
      <c r="U8" s="307"/>
      <c r="V8" s="307"/>
      <c r="W8" s="93"/>
      <c r="X8" s="93"/>
      <c r="Y8" s="93"/>
      <c r="Z8" s="93"/>
      <c r="AA8" s="93"/>
      <c r="AB8" s="164"/>
      <c r="AC8" s="16"/>
      <c r="AD8" s="15"/>
      <c r="AE8" s="15"/>
      <c r="AF8" s="15"/>
      <c r="AG8" s="15"/>
      <c r="AH8" s="15"/>
    </row>
    <row r="9" spans="3:34" s="3" customFormat="1" x14ac:dyDescent="0.25">
      <c r="C9" s="8" t="s">
        <v>88</v>
      </c>
      <c r="D9" s="8"/>
      <c r="E9" s="8"/>
      <c r="F9" s="8"/>
      <c r="G9" s="8"/>
      <c r="H9" s="43"/>
      <c r="J9" s="93"/>
      <c r="K9" s="93"/>
      <c r="L9" s="93"/>
      <c r="M9" s="93"/>
      <c r="N9" s="93"/>
      <c r="O9" s="93"/>
      <c r="P9" s="93"/>
      <c r="Q9" s="93"/>
      <c r="R9" s="93"/>
      <c r="S9" s="307"/>
      <c r="T9" s="307"/>
      <c r="U9" s="307"/>
      <c r="V9" s="307"/>
      <c r="W9" s="93"/>
      <c r="X9" s="93"/>
      <c r="Y9" s="93"/>
      <c r="Z9" s="93"/>
      <c r="AA9" s="93"/>
      <c r="AB9" s="164"/>
      <c r="AC9" s="16"/>
      <c r="AD9" s="15"/>
      <c r="AE9" s="15"/>
      <c r="AF9" s="15"/>
      <c r="AG9" s="15"/>
      <c r="AH9" s="15"/>
    </row>
    <row r="10" spans="3:34" s="3" customFormat="1" x14ac:dyDescent="0.25">
      <c r="C10" s="8" t="s">
        <v>90</v>
      </c>
      <c r="D10" s="8"/>
      <c r="E10" s="8"/>
      <c r="F10" s="8"/>
      <c r="G10" s="8"/>
      <c r="H10" s="43"/>
      <c r="J10" s="93"/>
      <c r="K10" s="93"/>
      <c r="L10" s="93"/>
      <c r="M10" s="93"/>
      <c r="N10" s="93"/>
      <c r="O10" s="93"/>
      <c r="P10" s="93"/>
      <c r="Q10" s="93"/>
      <c r="R10" s="93"/>
      <c r="S10" s="307"/>
      <c r="T10" s="307"/>
      <c r="U10" s="307"/>
      <c r="V10" s="309" t="s">
        <v>54</v>
      </c>
      <c r="W10" s="309"/>
      <c r="X10" s="163" t="s">
        <v>55</v>
      </c>
      <c r="Y10" s="93"/>
      <c r="Z10" s="93"/>
      <c r="AA10" s="93"/>
      <c r="AB10" s="164"/>
      <c r="AC10" s="16"/>
      <c r="AD10" s="15"/>
      <c r="AE10" s="15"/>
      <c r="AF10" s="15"/>
      <c r="AG10" s="15"/>
      <c r="AH10" s="15"/>
    </row>
    <row r="11" spans="3:34" s="3" customFormat="1" x14ac:dyDescent="0.25">
      <c r="C11" s="3" t="s">
        <v>89</v>
      </c>
      <c r="H11" s="4"/>
      <c r="J11" s="93"/>
      <c r="K11" s="93"/>
      <c r="L11" s="93"/>
      <c r="M11" s="93"/>
      <c r="N11" s="93"/>
      <c r="O11" s="93"/>
      <c r="P11" s="93"/>
      <c r="Q11" s="93"/>
      <c r="R11" s="93"/>
      <c r="S11" s="307"/>
      <c r="T11" s="307"/>
      <c r="U11" s="307">
        <f>ROUND(6311.5*(X11/X12),3)</f>
        <v>7442.3879999999999</v>
      </c>
      <c r="V11" s="163" t="s">
        <v>5</v>
      </c>
      <c r="W11" s="310">
        <v>45536</v>
      </c>
      <c r="X11" s="311">
        <v>132.41</v>
      </c>
      <c r="Y11" s="93"/>
      <c r="Z11" s="93"/>
      <c r="AA11" s="93"/>
      <c r="AB11" s="164"/>
      <c r="AC11" s="16"/>
      <c r="AD11" s="15"/>
      <c r="AE11" s="15"/>
      <c r="AF11" s="15"/>
      <c r="AG11" s="15"/>
      <c r="AH11" s="15"/>
    </row>
    <row r="12" spans="3:34" s="3" customFormat="1" x14ac:dyDescent="0.25">
      <c r="H12" s="4"/>
      <c r="J12" s="93"/>
      <c r="K12" s="93"/>
      <c r="L12" s="93"/>
      <c r="M12" s="93"/>
      <c r="N12" s="93"/>
      <c r="O12" s="93"/>
      <c r="P12" s="93"/>
      <c r="Q12" s="93"/>
      <c r="R12" s="93"/>
      <c r="S12" s="307"/>
      <c r="T12" s="307"/>
      <c r="U12" s="307"/>
      <c r="V12" s="163"/>
      <c r="W12" s="310">
        <v>44440</v>
      </c>
      <c r="X12" s="163">
        <v>112.29</v>
      </c>
      <c r="Y12" s="93"/>
      <c r="Z12" s="93"/>
      <c r="AA12" s="93">
        <f>SUM(X11/X12)</f>
        <v>1.1791789117463709</v>
      </c>
      <c r="AB12" s="164"/>
      <c r="AC12" s="16"/>
      <c r="AD12" s="15"/>
      <c r="AE12" s="15"/>
      <c r="AF12" s="15"/>
      <c r="AG12" s="15"/>
      <c r="AH12" s="15"/>
    </row>
    <row r="13" spans="3:34" s="3" customFormat="1" ht="18.75" x14ac:dyDescent="0.3">
      <c r="C13" s="137" t="s">
        <v>26</v>
      </c>
      <c r="D13" s="21"/>
      <c r="E13" s="21"/>
      <c r="F13" s="21"/>
      <c r="G13" s="21"/>
      <c r="H13" s="4"/>
      <c r="J13" s="93"/>
      <c r="K13" s="93"/>
      <c r="L13" s="93"/>
      <c r="M13" s="93"/>
      <c r="N13" s="93"/>
      <c r="O13" s="93"/>
      <c r="P13" s="93"/>
      <c r="Q13" s="93"/>
      <c r="R13" s="93"/>
      <c r="S13" s="307"/>
      <c r="T13" s="307"/>
      <c r="U13" s="307"/>
      <c r="V13" s="307" t="s">
        <v>57</v>
      </c>
      <c r="W13" s="93">
        <v>6311.5</v>
      </c>
      <c r="X13" s="311">
        <f>(X11/X12)</f>
        <v>1.1791789117463709</v>
      </c>
      <c r="Y13" s="93"/>
      <c r="Z13" s="93"/>
      <c r="AA13" s="93">
        <v>1.11252857458889</v>
      </c>
      <c r="AB13" s="164"/>
      <c r="AC13" s="16"/>
      <c r="AD13" s="15"/>
      <c r="AE13" s="15"/>
      <c r="AF13" s="15"/>
      <c r="AG13" s="15"/>
      <c r="AH13" s="15"/>
    </row>
    <row r="14" spans="3:34" s="3" customFormat="1" ht="39" hidden="1" customHeight="1" x14ac:dyDescent="0.3">
      <c r="C14" s="42"/>
      <c r="D14" s="21"/>
      <c r="E14" s="21"/>
      <c r="F14" s="21"/>
      <c r="G14" s="21"/>
      <c r="H14" s="4"/>
      <c r="J14" s="93"/>
      <c r="K14" s="93"/>
      <c r="L14" s="93"/>
      <c r="M14" s="93"/>
      <c r="N14" s="93"/>
      <c r="O14" s="93"/>
      <c r="P14" s="93"/>
      <c r="Q14" s="93"/>
      <c r="R14" s="93"/>
      <c r="S14" s="307"/>
      <c r="T14" s="307"/>
      <c r="U14" s="307">
        <f>W14*X13</f>
        <v>1860596.925371805</v>
      </c>
      <c r="V14" s="307" t="s">
        <v>58</v>
      </c>
      <c r="W14" s="93">
        <v>1577875</v>
      </c>
      <c r="X14" s="93"/>
      <c r="Y14" s="93"/>
      <c r="Z14" s="93"/>
      <c r="AA14" s="93"/>
      <c r="AB14" s="164"/>
      <c r="AC14" s="16"/>
      <c r="AD14" s="15"/>
      <c r="AE14" s="15"/>
      <c r="AF14" s="15"/>
      <c r="AG14" s="15"/>
      <c r="AH14" s="15"/>
    </row>
    <row r="15" spans="3:34" s="3" customFormat="1" ht="18.75" x14ac:dyDescent="0.3">
      <c r="C15" s="135"/>
      <c r="D15" s="21"/>
      <c r="E15" s="21"/>
      <c r="F15" s="21"/>
      <c r="G15" s="21"/>
      <c r="H15" s="4"/>
      <c r="J15" s="93"/>
      <c r="K15" s="93"/>
      <c r="L15" s="93"/>
      <c r="M15" s="93"/>
      <c r="N15" s="93"/>
      <c r="O15" s="93"/>
      <c r="P15" s="93"/>
      <c r="Q15" s="93"/>
      <c r="R15" s="93"/>
      <c r="S15" s="307"/>
      <c r="T15" s="307"/>
      <c r="U15" s="307">
        <f>ROUND(7889375*(X11/X12),3)</f>
        <v>9302984.6270000003</v>
      </c>
      <c r="V15" s="307" t="s">
        <v>59</v>
      </c>
      <c r="W15" s="93">
        <v>7889375</v>
      </c>
      <c r="X15" s="93"/>
      <c r="Y15" s="93"/>
      <c r="Z15" s="93"/>
      <c r="AA15" s="93"/>
      <c r="AB15" s="164"/>
      <c r="AC15" s="16"/>
      <c r="AD15" s="15"/>
      <c r="AE15" s="15"/>
      <c r="AF15" s="15"/>
      <c r="AG15" s="15"/>
      <c r="AH15" s="15"/>
    </row>
    <row r="16" spans="3:34" s="3" customFormat="1" ht="16.5" thickBot="1" x14ac:dyDescent="0.3">
      <c r="C16" s="136" t="s">
        <v>83</v>
      </c>
      <c r="D16" s="21"/>
      <c r="E16" s="21"/>
      <c r="F16" s="21"/>
      <c r="G16" s="21"/>
      <c r="H16" s="4"/>
      <c r="J16" s="93"/>
      <c r="K16" s="93"/>
      <c r="L16" s="93"/>
      <c r="M16" s="93"/>
      <c r="N16" s="93"/>
      <c r="O16" s="93"/>
      <c r="P16" s="93"/>
      <c r="Q16" s="93"/>
      <c r="R16" s="93"/>
      <c r="S16" s="307"/>
      <c r="T16" s="307"/>
      <c r="U16" s="307">
        <f>ROUND(18934500*(X11/X12),3)</f>
        <v>22327163.103999998</v>
      </c>
      <c r="V16" s="307" t="s">
        <v>60</v>
      </c>
      <c r="W16" s="93">
        <v>18934500</v>
      </c>
      <c r="X16" s="93"/>
      <c r="Y16" s="93"/>
      <c r="Z16" s="93"/>
      <c r="AA16" s="93"/>
      <c r="AB16" s="164"/>
      <c r="AC16" s="16"/>
      <c r="AD16" s="15"/>
      <c r="AE16" s="15"/>
      <c r="AF16" s="15"/>
      <c r="AG16" s="15"/>
      <c r="AH16" s="15"/>
    </row>
    <row r="17" spans="2:36" s="3" customFormat="1" ht="54" customHeight="1" thickBot="1" x14ac:dyDescent="0.3">
      <c r="B17" s="3">
        <v>1</v>
      </c>
      <c r="C17" s="281" t="s">
        <v>92</v>
      </c>
      <c r="D17" s="223"/>
      <c r="E17" s="223"/>
      <c r="F17" s="223"/>
      <c r="G17" s="223"/>
      <c r="H17" s="224"/>
      <c r="I17" s="67"/>
      <c r="J17" s="314"/>
      <c r="K17" s="314"/>
      <c r="L17" s="314"/>
      <c r="M17" s="314"/>
      <c r="N17" s="314"/>
      <c r="O17" s="314"/>
      <c r="P17" s="314"/>
      <c r="Q17" s="315"/>
      <c r="R17" s="307"/>
      <c r="S17" s="93"/>
      <c r="T17" s="93"/>
      <c r="U17" s="307">
        <f>ROUND(31557500*(X11/X12),3)</f>
        <v>37211938.506999999</v>
      </c>
      <c r="V17" s="307" t="s">
        <v>61</v>
      </c>
      <c r="W17" s="307">
        <v>31557500</v>
      </c>
      <c r="X17" s="307"/>
      <c r="Y17" s="93"/>
      <c r="Z17" s="93"/>
      <c r="AA17" s="93"/>
      <c r="AB17" s="164"/>
      <c r="AC17" s="16"/>
      <c r="AD17" s="16"/>
      <c r="AE17" s="16"/>
      <c r="AF17" s="15"/>
      <c r="AG17" s="15"/>
      <c r="AH17" s="15"/>
      <c r="AI17" s="15"/>
      <c r="AJ17" s="15"/>
    </row>
    <row r="18" spans="2:36" s="3" customFormat="1" ht="69.75" customHeight="1" thickBot="1" x14ac:dyDescent="0.3">
      <c r="B18" s="3">
        <v>2</v>
      </c>
      <c r="C18" s="281" t="s">
        <v>93</v>
      </c>
      <c r="D18" s="223"/>
      <c r="E18" s="223"/>
      <c r="F18" s="223"/>
      <c r="G18" s="223"/>
      <c r="H18" s="224"/>
      <c r="I18" s="67"/>
      <c r="J18" s="314"/>
      <c r="K18" s="314"/>
      <c r="L18" s="314"/>
      <c r="M18" s="314"/>
      <c r="N18" s="314"/>
      <c r="O18" s="314"/>
      <c r="P18" s="314"/>
      <c r="Q18" s="315"/>
      <c r="R18" s="307"/>
      <c r="S18" s="93"/>
      <c r="T18" s="93"/>
      <c r="U18" s="307"/>
      <c r="V18" s="307"/>
      <c r="W18" s="307"/>
      <c r="X18" s="307"/>
      <c r="Y18" s="93"/>
      <c r="Z18" s="93"/>
      <c r="AA18" s="93"/>
      <c r="AB18" s="164"/>
      <c r="AC18" s="16"/>
      <c r="AD18" s="16"/>
      <c r="AE18" s="16"/>
      <c r="AF18" s="15"/>
      <c r="AG18" s="15"/>
      <c r="AH18" s="15"/>
      <c r="AI18" s="15"/>
      <c r="AJ18" s="15"/>
    </row>
    <row r="19" spans="2:36" s="3" customFormat="1" ht="85.5" customHeight="1" thickBot="1" x14ac:dyDescent="0.3">
      <c r="B19" s="3">
        <v>3</v>
      </c>
      <c r="C19" s="281" t="s">
        <v>73</v>
      </c>
      <c r="D19" s="223"/>
      <c r="E19" s="223"/>
      <c r="F19" s="223"/>
      <c r="G19" s="223"/>
      <c r="H19" s="224"/>
      <c r="I19" s="67"/>
      <c r="J19" s="314"/>
      <c r="K19" s="314"/>
      <c r="L19" s="314"/>
      <c r="M19" s="314"/>
      <c r="N19" s="314"/>
      <c r="O19" s="314"/>
      <c r="P19" s="314"/>
      <c r="Q19" s="315"/>
      <c r="R19" s="307"/>
      <c r="S19" s="93"/>
      <c r="T19" s="93"/>
      <c r="U19" s="307"/>
      <c r="V19" s="307"/>
      <c r="W19" s="307"/>
      <c r="X19" s="307"/>
      <c r="Y19" s="93"/>
      <c r="Z19" s="93"/>
      <c r="AA19" s="93"/>
      <c r="AB19" s="164"/>
      <c r="AC19" s="16"/>
      <c r="AD19" s="16"/>
      <c r="AE19" s="16"/>
      <c r="AF19" s="15"/>
      <c r="AG19" s="15"/>
      <c r="AH19" s="15"/>
      <c r="AI19" s="15"/>
      <c r="AJ19" s="15"/>
    </row>
    <row r="20" spans="2:36" s="3" customFormat="1" ht="64.5" customHeight="1" thickBot="1" x14ac:dyDescent="0.3">
      <c r="B20" s="3">
        <v>4</v>
      </c>
      <c r="C20" s="281" t="s">
        <v>74</v>
      </c>
      <c r="D20" s="223"/>
      <c r="E20" s="223"/>
      <c r="F20" s="223"/>
      <c r="G20" s="223"/>
      <c r="H20" s="224"/>
      <c r="I20" s="67"/>
      <c r="J20" s="314"/>
      <c r="K20" s="314"/>
      <c r="L20" s="314"/>
      <c r="M20" s="314"/>
      <c r="N20" s="314"/>
      <c r="O20" s="314"/>
      <c r="P20" s="314"/>
      <c r="Q20" s="315"/>
      <c r="R20" s="307"/>
      <c r="S20" s="93"/>
      <c r="T20" s="93"/>
      <c r="U20" s="307"/>
      <c r="V20" s="307"/>
      <c r="W20" s="307"/>
      <c r="X20" s="307"/>
      <c r="Y20" s="93"/>
      <c r="Z20" s="93"/>
      <c r="AA20" s="93"/>
      <c r="AB20" s="164"/>
      <c r="AC20" s="16"/>
      <c r="AD20" s="16"/>
      <c r="AE20" s="16"/>
      <c r="AF20" s="15"/>
      <c r="AG20" s="15"/>
      <c r="AH20" s="15"/>
      <c r="AI20" s="15"/>
      <c r="AJ20" s="15"/>
    </row>
    <row r="21" spans="2:36" s="3" customFormat="1" ht="87.75" customHeight="1" thickBot="1" x14ac:dyDescent="0.3">
      <c r="B21" s="3">
        <v>5</v>
      </c>
      <c r="C21" s="281" t="s">
        <v>75</v>
      </c>
      <c r="D21" s="223"/>
      <c r="E21" s="223"/>
      <c r="F21" s="223"/>
      <c r="G21" s="223"/>
      <c r="H21" s="224"/>
      <c r="I21" s="67"/>
      <c r="J21" s="314"/>
      <c r="K21" s="314"/>
      <c r="L21" s="314"/>
      <c r="M21" s="314"/>
      <c r="N21" s="314"/>
      <c r="O21" s="314"/>
      <c r="P21" s="314"/>
      <c r="Q21" s="315"/>
      <c r="R21" s="307"/>
      <c r="S21" s="93"/>
      <c r="T21" s="93"/>
      <c r="U21" s="307"/>
      <c r="V21" s="307"/>
      <c r="W21" s="307"/>
      <c r="X21" s="307"/>
      <c r="Y21" s="93"/>
      <c r="Z21" s="93"/>
      <c r="AA21" s="93"/>
      <c r="AB21" s="164"/>
      <c r="AC21" s="16"/>
      <c r="AD21" s="16"/>
      <c r="AE21" s="16"/>
      <c r="AF21" s="15"/>
      <c r="AG21" s="15"/>
      <c r="AH21" s="15"/>
      <c r="AI21" s="15"/>
      <c r="AJ21" s="15"/>
    </row>
    <row r="22" spans="2:36" s="90" customFormat="1" ht="87.75" customHeight="1" thickBot="1" x14ac:dyDescent="0.3">
      <c r="B22" s="151">
        <v>6</v>
      </c>
      <c r="C22" s="281" t="s">
        <v>91</v>
      </c>
      <c r="D22" s="223"/>
      <c r="E22" s="223"/>
      <c r="F22" s="223"/>
      <c r="G22" s="223"/>
      <c r="H22" s="224"/>
      <c r="I22" s="154"/>
      <c r="J22" s="316"/>
      <c r="K22" s="316"/>
      <c r="L22" s="316"/>
      <c r="M22" s="316"/>
      <c r="N22" s="316"/>
      <c r="O22" s="316"/>
      <c r="P22" s="316"/>
      <c r="Q22" s="315"/>
      <c r="R22" s="307"/>
      <c r="S22" s="93"/>
      <c r="T22" s="93"/>
      <c r="U22" s="307"/>
      <c r="V22" s="307"/>
      <c r="W22" s="307"/>
      <c r="X22" s="307"/>
      <c r="Y22" s="93"/>
      <c r="Z22" s="93"/>
      <c r="AA22" s="93"/>
      <c r="AB22" s="164"/>
      <c r="AC22" s="94"/>
      <c r="AD22" s="94"/>
      <c r="AE22" s="94"/>
      <c r="AF22" s="93"/>
      <c r="AG22" s="93"/>
      <c r="AH22" s="93"/>
      <c r="AI22" s="93"/>
      <c r="AJ22" s="93"/>
    </row>
    <row r="23" spans="2:36" s="90" customFormat="1" ht="52.5" customHeight="1" x14ac:dyDescent="0.25">
      <c r="C23" s="85"/>
      <c r="I23" s="88"/>
      <c r="J23" s="316"/>
      <c r="K23" s="316"/>
      <c r="L23" s="317"/>
      <c r="M23" s="317"/>
      <c r="N23" s="317"/>
      <c r="O23" s="317"/>
      <c r="P23" s="317"/>
      <c r="Q23" s="315"/>
      <c r="R23" s="307"/>
      <c r="S23" s="93"/>
      <c r="T23" s="93"/>
      <c r="U23" s="307"/>
      <c r="V23" s="307"/>
      <c r="W23" s="307"/>
      <c r="X23" s="307"/>
      <c r="Y23" s="93"/>
      <c r="Z23" s="93"/>
      <c r="AA23" s="93"/>
      <c r="AB23" s="164"/>
      <c r="AC23" s="94"/>
      <c r="AD23" s="94"/>
      <c r="AE23" s="94"/>
      <c r="AF23" s="93"/>
      <c r="AG23" s="93"/>
      <c r="AH23" s="93"/>
      <c r="AI23" s="93"/>
      <c r="AJ23" s="93"/>
    </row>
    <row r="24" spans="2:36" s="3" customFormat="1" ht="16.5" thickBot="1" x14ac:dyDescent="0.3">
      <c r="I24" s="4"/>
      <c r="J24" s="318"/>
      <c r="K24" s="318"/>
      <c r="L24" s="318"/>
      <c r="M24" s="318"/>
      <c r="N24" s="318"/>
      <c r="O24" s="318"/>
      <c r="P24" s="93"/>
      <c r="Q24" s="93"/>
      <c r="R24" s="93"/>
      <c r="S24" s="307"/>
      <c r="T24" s="307"/>
      <c r="U24" s="307"/>
      <c r="V24" s="307"/>
      <c r="W24" s="93"/>
      <c r="X24" s="93"/>
      <c r="Y24" s="93"/>
      <c r="Z24" s="93"/>
      <c r="AA24" s="93"/>
      <c r="AB24" s="164"/>
      <c r="AC24" s="16"/>
      <c r="AD24" s="15"/>
      <c r="AE24" s="15"/>
      <c r="AF24" s="15"/>
      <c r="AG24" s="15"/>
      <c r="AH24" s="15"/>
    </row>
    <row r="25" spans="2:36" s="3" customFormat="1" ht="16.5" thickBot="1" x14ac:dyDescent="0.3">
      <c r="C25" s="48" t="s">
        <v>16</v>
      </c>
      <c r="D25" s="183" t="s">
        <v>6</v>
      </c>
      <c r="E25" s="269"/>
      <c r="F25" s="269"/>
      <c r="G25" s="269"/>
      <c r="H25" s="269"/>
      <c r="I25" s="28"/>
      <c r="J25" s="319"/>
      <c r="K25" s="319"/>
      <c r="L25" s="319"/>
      <c r="M25" s="319"/>
      <c r="N25" s="319"/>
      <c r="O25" s="319"/>
      <c r="P25" s="163"/>
      <c r="Q25" s="93"/>
      <c r="R25" s="93"/>
      <c r="S25" s="307"/>
      <c r="T25" s="307"/>
      <c r="U25" s="307"/>
      <c r="V25" s="307"/>
      <c r="W25" s="93"/>
      <c r="X25" s="93"/>
      <c r="Y25" s="93"/>
      <c r="Z25" s="93"/>
      <c r="AA25" s="93"/>
      <c r="AB25" s="164"/>
      <c r="AC25" s="16"/>
      <c r="AD25" s="15"/>
      <c r="AE25" s="15"/>
      <c r="AF25" s="15"/>
      <c r="AG25" s="15"/>
      <c r="AH25" s="15"/>
    </row>
    <row r="26" spans="2:36" ht="28.5" customHeight="1" x14ac:dyDescent="0.25">
      <c r="C26" s="186" t="s">
        <v>27</v>
      </c>
      <c r="D26" s="187"/>
      <c r="E26" s="187"/>
      <c r="F26" s="187"/>
      <c r="G26" s="187"/>
      <c r="H26" s="188"/>
      <c r="I26" s="123"/>
      <c r="J26" s="320"/>
      <c r="K26" s="320"/>
      <c r="L26" s="320"/>
      <c r="M26" s="320"/>
      <c r="N26" s="320"/>
      <c r="O26" s="320"/>
      <c r="AD26" s="14"/>
      <c r="AE26" s="14"/>
      <c r="AF26" s="14"/>
      <c r="AG26" s="14"/>
      <c r="AH26" s="14"/>
    </row>
    <row r="27" spans="2:36" ht="24.75" customHeight="1" x14ac:dyDescent="0.25">
      <c r="C27" s="68"/>
      <c r="D27" s="263" t="s">
        <v>7</v>
      </c>
      <c r="E27" s="264"/>
      <c r="F27" s="264"/>
      <c r="G27" s="264"/>
      <c r="H27" s="265"/>
      <c r="I27" s="110" t="str">
        <f>IF($C$27="x", T27,"")</f>
        <v/>
      </c>
      <c r="J27" s="320"/>
      <c r="K27" s="320"/>
      <c r="L27" s="320"/>
      <c r="M27" s="320"/>
      <c r="N27" s="320"/>
      <c r="O27" s="320"/>
      <c r="T27" s="320">
        <f>ROUND(U27*$U$1,2)</f>
        <v>322.2</v>
      </c>
      <c r="U27" s="307">
        <v>1790</v>
      </c>
      <c r="AD27" s="14"/>
      <c r="AE27" s="14"/>
      <c r="AF27" s="14"/>
      <c r="AG27" s="14"/>
      <c r="AH27" s="14"/>
    </row>
    <row r="28" spans="2:36" ht="18" customHeight="1" thickBot="1" x14ac:dyDescent="0.3">
      <c r="C28" s="69"/>
      <c r="D28" s="266" t="s">
        <v>8</v>
      </c>
      <c r="E28" s="267"/>
      <c r="F28" s="267"/>
      <c r="G28" s="267"/>
      <c r="H28" s="268"/>
      <c r="I28" s="124" t="str">
        <f>IF($C$28="x", T28,"")</f>
        <v/>
      </c>
      <c r="J28" s="320"/>
      <c r="K28" s="320"/>
      <c r="L28" s="320"/>
      <c r="M28" s="320"/>
      <c r="N28" s="320"/>
      <c r="O28" s="320"/>
      <c r="T28" s="320">
        <f>ROUND(U28*$U$1,2)</f>
        <v>396</v>
      </c>
      <c r="U28" s="307">
        <v>2200</v>
      </c>
      <c r="AD28" s="14"/>
      <c r="AE28" s="14"/>
      <c r="AF28" s="14"/>
      <c r="AG28" s="14"/>
      <c r="AH28" s="14"/>
    </row>
    <row r="29" spans="2:36" ht="18" customHeight="1" thickBot="1" x14ac:dyDescent="0.3">
      <c r="C29" s="126"/>
      <c r="D29" s="270" t="s">
        <v>20</v>
      </c>
      <c r="E29" s="270"/>
      <c r="F29" s="270"/>
      <c r="G29" s="270"/>
      <c r="H29" s="270"/>
      <c r="I29" s="12">
        <f>SUM(I27:I28)</f>
        <v>0</v>
      </c>
      <c r="J29" s="320"/>
      <c r="K29" s="320"/>
      <c r="L29" s="320"/>
      <c r="M29" s="320"/>
      <c r="N29" s="320"/>
      <c r="O29" s="320"/>
      <c r="T29" s="320"/>
      <c r="AD29" s="14"/>
      <c r="AE29" s="14"/>
      <c r="AF29" s="14"/>
      <c r="AG29" s="14"/>
      <c r="AH29" s="14"/>
    </row>
    <row r="30" spans="2:36" ht="18" customHeight="1" thickBot="1" x14ac:dyDescent="0.3">
      <c r="C30" s="127"/>
      <c r="D30" s="63"/>
      <c r="E30" s="64"/>
      <c r="F30" s="64"/>
      <c r="G30" s="64"/>
      <c r="H30" s="64"/>
      <c r="I30" s="125"/>
      <c r="J30" s="320"/>
      <c r="K30" s="320"/>
      <c r="L30" s="320"/>
      <c r="M30" s="320"/>
      <c r="N30" s="320"/>
      <c r="O30" s="320"/>
      <c r="T30" s="320"/>
      <c r="AD30" s="14"/>
      <c r="AE30" s="14"/>
      <c r="AF30" s="14"/>
      <c r="AG30" s="14"/>
      <c r="AH30" s="14"/>
    </row>
    <row r="31" spans="2:36" s="20" customFormat="1" ht="52.5" customHeight="1" thickBot="1" x14ac:dyDescent="0.3">
      <c r="C31" s="59" t="s">
        <v>34</v>
      </c>
      <c r="D31" s="183" t="s">
        <v>9</v>
      </c>
      <c r="E31" s="269"/>
      <c r="F31" s="269"/>
      <c r="G31" s="269"/>
      <c r="H31" s="269"/>
      <c r="I31" s="204"/>
      <c r="J31" s="321"/>
      <c r="K31" s="321"/>
      <c r="L31" s="321"/>
      <c r="M31" s="321"/>
      <c r="N31" s="321"/>
      <c r="O31" s="321"/>
      <c r="P31" s="163"/>
      <c r="Q31" s="163"/>
      <c r="R31" s="163"/>
      <c r="S31" s="307"/>
      <c r="T31" s="320"/>
      <c r="U31" s="307"/>
      <c r="V31" s="307"/>
      <c r="W31" s="163"/>
      <c r="X31" s="163"/>
      <c r="Y31" s="163"/>
      <c r="Z31" s="163"/>
      <c r="AA31" s="163"/>
      <c r="AB31" s="160"/>
      <c r="AC31" s="26"/>
      <c r="AD31" s="25"/>
      <c r="AE31" s="25"/>
      <c r="AF31" s="25"/>
      <c r="AG31" s="25"/>
      <c r="AH31" s="25"/>
    </row>
    <row r="32" spans="2:36" ht="33" customHeight="1" x14ac:dyDescent="0.25">
      <c r="C32" s="186" t="s">
        <v>31</v>
      </c>
      <c r="D32" s="187"/>
      <c r="E32" s="187"/>
      <c r="F32" s="187"/>
      <c r="G32" s="187"/>
      <c r="H32" s="188"/>
      <c r="I32" s="123"/>
      <c r="J32" s="320"/>
      <c r="K32" s="320"/>
      <c r="L32" s="320"/>
      <c r="M32" s="320"/>
      <c r="N32" s="320"/>
      <c r="O32" s="320"/>
      <c r="T32" s="320"/>
      <c r="AD32" s="14"/>
      <c r="AE32" s="14"/>
      <c r="AF32" s="14"/>
      <c r="AG32" s="14"/>
      <c r="AH32" s="14"/>
    </row>
    <row r="33" spans="2:34" s="20" customFormat="1" ht="24" customHeight="1" x14ac:dyDescent="0.25">
      <c r="C33" s="68"/>
      <c r="D33" s="276" t="s">
        <v>41</v>
      </c>
      <c r="E33" s="277"/>
      <c r="F33" s="277"/>
      <c r="G33" s="277"/>
      <c r="H33" s="277"/>
      <c r="I33" s="34">
        <f>S33</f>
        <v>0</v>
      </c>
      <c r="J33" s="320"/>
      <c r="K33" s="320"/>
      <c r="L33" s="320"/>
      <c r="M33" s="320"/>
      <c r="N33" s="320"/>
      <c r="O33" s="320"/>
      <c r="P33" s="163"/>
      <c r="Q33" s="163"/>
      <c r="R33" s="163"/>
      <c r="S33" s="307">
        <f>C33*T33</f>
        <v>0</v>
      </c>
      <c r="T33" s="320">
        <f t="shared" ref="T33:T66" si="0">ROUND(U33*$U$1,2)</f>
        <v>216</v>
      </c>
      <c r="U33" s="307">
        <v>1200</v>
      </c>
      <c r="V33" s="307"/>
      <c r="W33" s="163"/>
      <c r="X33" s="163"/>
      <c r="Y33" s="163"/>
      <c r="Z33" s="163"/>
      <c r="AA33" s="163"/>
      <c r="AB33" s="160"/>
      <c r="AC33" s="26"/>
      <c r="AD33" s="25"/>
      <c r="AE33" s="25"/>
      <c r="AF33" s="25"/>
      <c r="AG33" s="25"/>
      <c r="AH33" s="25"/>
    </row>
    <row r="34" spans="2:34" ht="18" customHeight="1" thickBot="1" x14ac:dyDescent="0.3">
      <c r="C34" s="69"/>
      <c r="D34" s="278" t="s">
        <v>42</v>
      </c>
      <c r="E34" s="279"/>
      <c r="F34" s="279"/>
      <c r="G34" s="279"/>
      <c r="H34" s="279"/>
      <c r="I34" s="35">
        <f>S34</f>
        <v>0</v>
      </c>
      <c r="J34" s="320"/>
      <c r="K34" s="320"/>
      <c r="L34" s="320"/>
      <c r="M34" s="320"/>
      <c r="N34" s="320"/>
      <c r="O34" s="320"/>
      <c r="S34" s="307">
        <f>C34*T34</f>
        <v>0</v>
      </c>
      <c r="T34" s="320">
        <f t="shared" si="0"/>
        <v>264.60000000000002</v>
      </c>
      <c r="U34" s="307">
        <v>1470</v>
      </c>
      <c r="AD34" s="14"/>
      <c r="AE34" s="14"/>
      <c r="AF34" s="14"/>
      <c r="AG34" s="14"/>
      <c r="AH34" s="14"/>
    </row>
    <row r="35" spans="2:34" ht="18" customHeight="1" thickBot="1" x14ac:dyDescent="0.3">
      <c r="C35" s="126"/>
      <c r="D35" s="271" t="s">
        <v>20</v>
      </c>
      <c r="E35" s="272"/>
      <c r="F35" s="272"/>
      <c r="G35" s="272"/>
      <c r="H35" s="272"/>
      <c r="I35" s="12">
        <f>SUM(I33:I34)</f>
        <v>0</v>
      </c>
      <c r="J35" s="320"/>
      <c r="K35" s="320"/>
      <c r="L35" s="320"/>
      <c r="M35" s="320"/>
      <c r="N35" s="320"/>
      <c r="O35" s="320"/>
      <c r="T35" s="320"/>
      <c r="AD35" s="14"/>
      <c r="AE35" s="14"/>
      <c r="AF35" s="14"/>
      <c r="AG35" s="14"/>
      <c r="AH35" s="14"/>
    </row>
    <row r="36" spans="2:34" ht="18" customHeight="1" thickBot="1" x14ac:dyDescent="0.3">
      <c r="C36" s="127"/>
      <c r="D36" s="52"/>
      <c r="E36" s="52"/>
      <c r="F36" s="52"/>
      <c r="G36" s="52"/>
      <c r="H36" s="52"/>
      <c r="I36" s="81"/>
      <c r="J36" s="320"/>
      <c r="K36" s="320"/>
      <c r="L36" s="320"/>
      <c r="M36" s="320"/>
      <c r="N36" s="320"/>
      <c r="O36" s="320"/>
      <c r="T36" s="320"/>
      <c r="AD36" s="14"/>
      <c r="AE36" s="14"/>
      <c r="AF36" s="14"/>
      <c r="AG36" s="14"/>
      <c r="AH36" s="14"/>
    </row>
    <row r="37" spans="2:34" s="20" customFormat="1" ht="44.25" customHeight="1" thickBot="1" x14ac:dyDescent="0.3">
      <c r="C37" s="59"/>
      <c r="D37" s="183" t="s">
        <v>48</v>
      </c>
      <c r="E37" s="269"/>
      <c r="F37" s="269"/>
      <c r="G37" s="269"/>
      <c r="H37" s="269"/>
      <c r="I37" s="204"/>
      <c r="J37" s="321"/>
      <c r="K37" s="321"/>
      <c r="L37" s="321"/>
      <c r="M37" s="321"/>
      <c r="N37" s="321"/>
      <c r="O37" s="321"/>
      <c r="P37" s="163"/>
      <c r="Q37" s="163"/>
      <c r="R37" s="163"/>
      <c r="S37" s="307"/>
      <c r="T37" s="320"/>
      <c r="U37" s="163"/>
      <c r="V37" s="307"/>
      <c r="W37" s="163"/>
      <c r="X37" s="163"/>
      <c r="Y37" s="163"/>
      <c r="Z37" s="163"/>
      <c r="AA37" s="163"/>
      <c r="AB37" s="160"/>
      <c r="AC37" s="26"/>
      <c r="AD37" s="25"/>
      <c r="AE37" s="25"/>
      <c r="AF37" s="25"/>
      <c r="AG37" s="25"/>
      <c r="AH37" s="25"/>
    </row>
    <row r="38" spans="2:34" s="20" customFormat="1" ht="34.5" customHeight="1" x14ac:dyDescent="0.25">
      <c r="C38" s="186" t="s">
        <v>49</v>
      </c>
      <c r="D38" s="187"/>
      <c r="E38" s="187"/>
      <c r="F38" s="187"/>
      <c r="G38" s="187"/>
      <c r="H38" s="188"/>
      <c r="I38" s="123"/>
      <c r="J38" s="320"/>
      <c r="K38" s="320"/>
      <c r="L38" s="320"/>
      <c r="M38" s="320"/>
      <c r="N38" s="320"/>
      <c r="O38" s="320"/>
      <c r="P38" s="163"/>
      <c r="Q38" s="163"/>
      <c r="R38" s="163"/>
      <c r="S38" s="307">
        <f>C39*T38</f>
        <v>0</v>
      </c>
      <c r="T38" s="320">
        <f>ROUND(U38*$U$1,2)</f>
        <v>365.4</v>
      </c>
      <c r="U38" s="307">
        <v>2030</v>
      </c>
      <c r="V38" s="307"/>
      <c r="W38" s="163"/>
      <c r="X38" s="163"/>
      <c r="Y38" s="163"/>
      <c r="Z38" s="163"/>
      <c r="AA38" s="163"/>
      <c r="AB38" s="160"/>
      <c r="AC38" s="26"/>
      <c r="AD38" s="25"/>
      <c r="AE38" s="25"/>
      <c r="AF38" s="25"/>
      <c r="AG38" s="25"/>
      <c r="AH38" s="25"/>
    </row>
    <row r="39" spans="2:34" s="20" customFormat="1" ht="18" customHeight="1" thickBot="1" x14ac:dyDescent="0.3">
      <c r="C39" s="68"/>
      <c r="D39" s="276" t="s">
        <v>41</v>
      </c>
      <c r="E39" s="277"/>
      <c r="F39" s="277"/>
      <c r="G39" s="277"/>
      <c r="H39" s="277"/>
      <c r="I39" s="34">
        <f>S38</f>
        <v>0</v>
      </c>
      <c r="J39" s="320"/>
      <c r="K39" s="320"/>
      <c r="L39" s="320"/>
      <c r="M39" s="320"/>
      <c r="N39" s="320"/>
      <c r="O39" s="320"/>
      <c r="P39" s="163"/>
      <c r="Q39" s="163"/>
      <c r="R39" s="163"/>
      <c r="S39" s="307"/>
      <c r="T39" s="320"/>
      <c r="U39" s="307"/>
      <c r="V39" s="307"/>
      <c r="W39" s="163"/>
      <c r="X39" s="163"/>
      <c r="Y39" s="163"/>
      <c r="Z39" s="163"/>
      <c r="AA39" s="163"/>
      <c r="AB39" s="160"/>
      <c r="AC39" s="26"/>
      <c r="AD39" s="25"/>
      <c r="AE39" s="25"/>
      <c r="AF39" s="25"/>
      <c r="AG39" s="25"/>
      <c r="AH39" s="25"/>
    </row>
    <row r="40" spans="2:34" s="20" customFormat="1" ht="18" customHeight="1" thickBot="1" x14ac:dyDescent="0.3">
      <c r="C40" s="128"/>
      <c r="D40" s="242" t="s">
        <v>20</v>
      </c>
      <c r="E40" s="272"/>
      <c r="F40" s="272"/>
      <c r="G40" s="272"/>
      <c r="H40" s="303"/>
      <c r="I40" s="65">
        <f>SUM(I39:I39)</f>
        <v>0</v>
      </c>
      <c r="J40" s="320"/>
      <c r="K40" s="320"/>
      <c r="L40" s="320"/>
      <c r="M40" s="320"/>
      <c r="N40" s="320"/>
      <c r="O40" s="320"/>
      <c r="P40" s="163"/>
      <c r="Q40" s="163"/>
      <c r="R40" s="163"/>
      <c r="S40" s="307"/>
      <c r="T40" s="320"/>
      <c r="U40" s="307"/>
      <c r="V40" s="307"/>
      <c r="W40" s="163"/>
      <c r="X40" s="163"/>
      <c r="Y40" s="163"/>
      <c r="Z40" s="163"/>
      <c r="AA40" s="163"/>
      <c r="AB40" s="160"/>
      <c r="AC40" s="26"/>
      <c r="AD40" s="25"/>
      <c r="AE40" s="25"/>
      <c r="AF40" s="25"/>
      <c r="AG40" s="25"/>
      <c r="AH40" s="25"/>
    </row>
    <row r="41" spans="2:34" s="89" customFormat="1" ht="18" customHeight="1" thickBot="1" x14ac:dyDescent="0.3">
      <c r="C41" s="86"/>
      <c r="D41" s="106"/>
      <c r="E41" s="106"/>
      <c r="F41" s="106"/>
      <c r="G41" s="106"/>
      <c r="H41" s="106"/>
      <c r="I41" s="86"/>
      <c r="J41" s="320"/>
      <c r="K41" s="320"/>
      <c r="L41" s="320"/>
      <c r="M41" s="320"/>
      <c r="N41" s="320"/>
      <c r="O41" s="320"/>
      <c r="P41" s="163"/>
      <c r="Q41" s="163"/>
      <c r="R41" s="163"/>
      <c r="S41" s="307"/>
      <c r="T41" s="320"/>
      <c r="U41" s="307"/>
      <c r="V41" s="307"/>
      <c r="W41" s="163"/>
      <c r="X41" s="163"/>
      <c r="Y41" s="163"/>
      <c r="Z41" s="163"/>
      <c r="AA41" s="163"/>
      <c r="AB41" s="160"/>
      <c r="AC41" s="95"/>
      <c r="AD41" s="92"/>
      <c r="AE41" s="92"/>
      <c r="AF41" s="92"/>
      <c r="AG41" s="92"/>
      <c r="AH41" s="92"/>
    </row>
    <row r="42" spans="2:34" s="89" customFormat="1" ht="72.75" customHeight="1" thickBot="1" x14ac:dyDescent="0.35">
      <c r="C42" s="285" t="s">
        <v>72</v>
      </c>
      <c r="D42" s="286"/>
      <c r="E42" s="286"/>
      <c r="F42" s="286"/>
      <c r="G42" s="286"/>
      <c r="H42" s="286"/>
      <c r="I42" s="287"/>
      <c r="J42" s="320"/>
      <c r="K42" s="320"/>
      <c r="L42" s="320"/>
      <c r="M42" s="320"/>
      <c r="N42" s="320"/>
      <c r="O42" s="320"/>
      <c r="P42" s="163"/>
      <c r="Q42" s="163"/>
      <c r="R42" s="163"/>
      <c r="S42" s="307"/>
      <c r="T42" s="320"/>
      <c r="U42" s="307"/>
      <c r="V42" s="307"/>
      <c r="W42" s="163"/>
      <c r="X42" s="163"/>
      <c r="Y42" s="163"/>
      <c r="Z42" s="163"/>
      <c r="AA42" s="163"/>
      <c r="AB42" s="160"/>
      <c r="AC42" s="95"/>
      <c r="AD42" s="92"/>
      <c r="AE42" s="92"/>
      <c r="AF42" s="92"/>
      <c r="AG42" s="92"/>
      <c r="AH42" s="92"/>
    </row>
    <row r="43" spans="2:34" s="20" customFormat="1" ht="18" customHeight="1" thickBot="1" x14ac:dyDescent="0.3">
      <c r="C43" s="86"/>
      <c r="D43" s="107"/>
      <c r="E43" s="108"/>
      <c r="F43" s="108"/>
      <c r="G43" s="108"/>
      <c r="H43" s="108"/>
      <c r="I43" s="86"/>
      <c r="J43" s="320"/>
      <c r="K43" s="320"/>
      <c r="L43" s="320"/>
      <c r="M43" s="320"/>
      <c r="N43" s="320"/>
      <c r="O43" s="320"/>
      <c r="P43" s="163"/>
      <c r="Q43" s="163"/>
      <c r="R43" s="163"/>
      <c r="S43" s="307"/>
      <c r="T43" s="320"/>
      <c r="U43" s="307"/>
      <c r="V43" s="307"/>
      <c r="W43" s="163"/>
      <c r="X43" s="163"/>
      <c r="Y43" s="163"/>
      <c r="Z43" s="163"/>
      <c r="AA43" s="163"/>
      <c r="AB43" s="160"/>
      <c r="AC43" s="26"/>
      <c r="AD43" s="25"/>
      <c r="AE43" s="25"/>
      <c r="AF43" s="25"/>
      <c r="AG43" s="25"/>
      <c r="AH43" s="25"/>
    </row>
    <row r="44" spans="2:34" s="20" customFormat="1" ht="46.5" customHeight="1" thickBot="1" x14ac:dyDescent="0.3">
      <c r="B44" s="1"/>
      <c r="C44" s="98" t="s">
        <v>35</v>
      </c>
      <c r="D44" s="183" t="s">
        <v>47</v>
      </c>
      <c r="E44" s="269"/>
      <c r="F44" s="269"/>
      <c r="G44" s="269"/>
      <c r="H44" s="269"/>
      <c r="I44" s="204"/>
      <c r="J44" s="321"/>
      <c r="K44" s="321"/>
      <c r="L44" s="321"/>
      <c r="M44" s="321"/>
      <c r="N44" s="321"/>
      <c r="O44" s="321"/>
      <c r="P44" s="163"/>
      <c r="Q44" s="163"/>
      <c r="R44" s="163"/>
      <c r="S44" s="307"/>
      <c r="T44" s="320"/>
      <c r="U44" s="307"/>
      <c r="V44" s="307"/>
      <c r="W44" s="163"/>
      <c r="X44" s="163"/>
      <c r="Y44" s="163"/>
      <c r="Z44" s="163"/>
      <c r="AA44" s="163"/>
      <c r="AB44" s="160"/>
      <c r="AC44" s="26"/>
      <c r="AD44" s="25"/>
      <c r="AE44" s="25"/>
      <c r="AF44" s="25"/>
      <c r="AG44" s="25"/>
      <c r="AH44" s="25"/>
    </row>
    <row r="45" spans="2:34" s="20" customFormat="1" ht="42.75" customHeight="1" x14ac:dyDescent="0.25">
      <c r="B45" s="1"/>
      <c r="C45" s="186" t="s">
        <v>32</v>
      </c>
      <c r="D45" s="187"/>
      <c r="E45" s="187"/>
      <c r="F45" s="187"/>
      <c r="G45" s="187"/>
      <c r="H45" s="188"/>
      <c r="I45" s="123"/>
      <c r="J45" s="320"/>
      <c r="K45" s="320"/>
      <c r="L45" s="320"/>
      <c r="M45" s="320"/>
      <c r="N45" s="320"/>
      <c r="O45" s="320"/>
      <c r="P45" s="163"/>
      <c r="Q45" s="163"/>
      <c r="R45" s="163"/>
      <c r="S45" s="307"/>
      <c r="T45" s="320"/>
      <c r="U45" s="307"/>
      <c r="V45" s="307"/>
      <c r="W45" s="163"/>
      <c r="X45" s="163"/>
      <c r="Y45" s="163"/>
      <c r="Z45" s="163"/>
      <c r="AA45" s="163"/>
      <c r="AB45" s="160"/>
      <c r="AC45" s="26"/>
      <c r="AD45" s="25"/>
      <c r="AE45" s="25"/>
      <c r="AF45" s="25"/>
      <c r="AG45" s="25"/>
      <c r="AH45" s="25"/>
    </row>
    <row r="46" spans="2:34" s="20" customFormat="1" ht="18" customHeight="1" x14ac:dyDescent="0.25">
      <c r="C46" s="44"/>
      <c r="D46" s="180" t="s">
        <v>39</v>
      </c>
      <c r="E46" s="182"/>
      <c r="F46" s="182"/>
      <c r="G46" s="182"/>
      <c r="H46" s="182"/>
      <c r="I46" s="34">
        <f>S47</f>
        <v>0</v>
      </c>
      <c r="J46" s="320"/>
      <c r="K46" s="320"/>
      <c r="L46" s="320"/>
      <c r="M46" s="320"/>
      <c r="N46" s="320"/>
      <c r="O46" s="320"/>
      <c r="P46" s="163"/>
      <c r="Q46" s="163"/>
      <c r="R46" s="163"/>
      <c r="S46" s="307"/>
      <c r="T46" s="320"/>
      <c r="U46" s="307"/>
      <c r="V46" s="307"/>
      <c r="W46" s="163"/>
      <c r="X46" s="163"/>
      <c r="Y46" s="163"/>
      <c r="Z46" s="163"/>
      <c r="AA46" s="163"/>
      <c r="AB46" s="160"/>
      <c r="AC46" s="26"/>
      <c r="AD46" s="25"/>
      <c r="AE46" s="25"/>
      <c r="AF46" s="25"/>
      <c r="AG46" s="25"/>
      <c r="AH46" s="25"/>
    </row>
    <row r="47" spans="2:34" ht="45" customHeight="1" thickBot="1" x14ac:dyDescent="0.3">
      <c r="C47" s="51"/>
      <c r="D47" s="280" t="s">
        <v>40</v>
      </c>
      <c r="E47" s="279"/>
      <c r="F47" s="279"/>
      <c r="G47" s="279"/>
      <c r="H47" s="279"/>
      <c r="I47" s="35">
        <f>S48</f>
        <v>0</v>
      </c>
      <c r="J47" s="320"/>
      <c r="K47" s="320"/>
      <c r="L47" s="320"/>
      <c r="M47" s="320"/>
      <c r="N47" s="320"/>
      <c r="O47" s="320"/>
      <c r="S47" s="307">
        <f>C46*T47</f>
        <v>0</v>
      </c>
      <c r="T47" s="320">
        <f t="shared" si="0"/>
        <v>21.6</v>
      </c>
      <c r="U47" s="307">
        <v>120</v>
      </c>
      <c r="AD47" s="14"/>
      <c r="AE47" s="14"/>
      <c r="AF47" s="14"/>
      <c r="AG47" s="14"/>
      <c r="AH47" s="14"/>
    </row>
    <row r="48" spans="2:34" ht="34.5" customHeight="1" thickBot="1" x14ac:dyDescent="0.3">
      <c r="C48" s="126"/>
      <c r="D48" s="273" t="s">
        <v>20</v>
      </c>
      <c r="E48" s="274"/>
      <c r="F48" s="274"/>
      <c r="G48" s="274"/>
      <c r="H48" s="275"/>
      <c r="I48" s="12">
        <f>SUM(I46:I47)</f>
        <v>0</v>
      </c>
      <c r="J48" s="320"/>
      <c r="K48" s="320"/>
      <c r="L48" s="320"/>
      <c r="M48" s="320"/>
      <c r="N48" s="320"/>
      <c r="O48" s="320"/>
      <c r="S48" s="307">
        <f>C47*T48</f>
        <v>0</v>
      </c>
      <c r="T48" s="320">
        <f t="shared" si="0"/>
        <v>26.46</v>
      </c>
      <c r="U48" s="307">
        <v>147</v>
      </c>
      <c r="AD48" s="14"/>
      <c r="AE48" s="14"/>
      <c r="AF48" s="14"/>
      <c r="AG48" s="14"/>
      <c r="AH48" s="14"/>
    </row>
    <row r="49" spans="2:34" s="20" customFormat="1" ht="22.5" customHeight="1" thickBot="1" x14ac:dyDescent="0.3">
      <c r="B49" s="1"/>
      <c r="C49" s="127"/>
      <c r="D49" s="63"/>
      <c r="E49" s="64"/>
      <c r="F49" s="64"/>
      <c r="G49" s="64"/>
      <c r="H49" s="64"/>
      <c r="I49" s="125"/>
      <c r="J49" s="320"/>
      <c r="K49" s="320"/>
      <c r="L49" s="320"/>
      <c r="M49" s="320"/>
      <c r="N49" s="320"/>
      <c r="O49" s="320"/>
      <c r="P49" s="163"/>
      <c r="Q49" s="163"/>
      <c r="R49" s="163"/>
      <c r="S49" s="307"/>
      <c r="T49" s="320"/>
      <c r="U49" s="307"/>
      <c r="V49" s="307"/>
      <c r="W49" s="163"/>
      <c r="X49" s="163"/>
      <c r="Y49" s="163"/>
      <c r="Z49" s="163"/>
      <c r="AA49" s="163"/>
      <c r="AB49" s="160"/>
      <c r="AC49" s="26"/>
      <c r="AD49" s="25"/>
      <c r="AE49" s="25"/>
      <c r="AF49" s="25"/>
      <c r="AG49" s="25"/>
      <c r="AH49" s="25"/>
    </row>
    <row r="50" spans="2:34" ht="56.25" customHeight="1" thickBot="1" x14ac:dyDescent="0.3">
      <c r="B50" s="20"/>
      <c r="C50" s="59" t="s">
        <v>36</v>
      </c>
      <c r="D50" s="183" t="s">
        <v>50</v>
      </c>
      <c r="E50" s="269"/>
      <c r="F50" s="269"/>
      <c r="G50" s="269"/>
      <c r="H50" s="269"/>
      <c r="I50" s="204"/>
      <c r="J50" s="321"/>
      <c r="K50" s="321"/>
      <c r="L50" s="321"/>
      <c r="M50" s="321"/>
      <c r="N50" s="321"/>
      <c r="O50" s="321"/>
      <c r="T50" s="320"/>
      <c r="AD50" s="14"/>
      <c r="AE50" s="14"/>
      <c r="AF50" s="14"/>
      <c r="AG50" s="14"/>
      <c r="AH50" s="14"/>
    </row>
    <row r="51" spans="2:34" ht="56.25" customHeight="1" x14ac:dyDescent="0.25">
      <c r="C51" s="186" t="s">
        <v>33</v>
      </c>
      <c r="D51" s="187"/>
      <c r="E51" s="187"/>
      <c r="F51" s="187"/>
      <c r="G51" s="187"/>
      <c r="H51" s="188"/>
      <c r="I51" s="123"/>
      <c r="J51" s="320"/>
      <c r="K51" s="320"/>
      <c r="L51" s="320"/>
      <c r="M51" s="320"/>
      <c r="N51" s="320"/>
      <c r="O51" s="320"/>
      <c r="T51" s="320"/>
      <c r="AD51" s="14"/>
      <c r="AE51" s="14"/>
      <c r="AF51" s="14"/>
      <c r="AG51" s="14"/>
      <c r="AH51" s="14"/>
    </row>
    <row r="52" spans="2:34" ht="18" customHeight="1" x14ac:dyDescent="0.25">
      <c r="B52" s="20"/>
      <c r="C52" s="68"/>
      <c r="D52" s="180" t="s">
        <v>37</v>
      </c>
      <c r="E52" s="277"/>
      <c r="F52" s="277"/>
      <c r="G52" s="277"/>
      <c r="H52" s="277"/>
      <c r="I52" s="34">
        <f>S53</f>
        <v>0</v>
      </c>
      <c r="J52" s="320"/>
      <c r="K52" s="320"/>
      <c r="L52" s="320"/>
      <c r="M52" s="320"/>
      <c r="N52" s="320"/>
      <c r="O52" s="320"/>
      <c r="T52" s="320"/>
      <c r="AD52" s="14"/>
      <c r="AE52" s="14"/>
      <c r="AF52" s="14"/>
      <c r="AG52" s="14"/>
      <c r="AH52" s="14"/>
    </row>
    <row r="53" spans="2:34" s="20" customFormat="1" ht="45" customHeight="1" thickBot="1" x14ac:dyDescent="0.3">
      <c r="B53" s="1"/>
      <c r="C53" s="69"/>
      <c r="D53" s="280" t="s">
        <v>38</v>
      </c>
      <c r="E53" s="279"/>
      <c r="F53" s="279"/>
      <c r="G53" s="279"/>
      <c r="H53" s="279"/>
      <c r="I53" s="35">
        <f>S56</f>
        <v>0</v>
      </c>
      <c r="J53" s="320"/>
      <c r="K53" s="320"/>
      <c r="L53" s="320"/>
      <c r="M53" s="320"/>
      <c r="N53" s="320"/>
      <c r="O53" s="320"/>
      <c r="P53" s="163"/>
      <c r="Q53" s="163"/>
      <c r="R53" s="163"/>
      <c r="S53" s="307">
        <f>C52*T53</f>
        <v>0</v>
      </c>
      <c r="T53" s="320">
        <f t="shared" si="0"/>
        <v>32.4</v>
      </c>
      <c r="U53" s="307">
        <v>180</v>
      </c>
      <c r="V53" s="307"/>
      <c r="W53" s="163" t="s">
        <v>51</v>
      </c>
      <c r="X53" s="163"/>
      <c r="Y53" s="163"/>
      <c r="Z53" s="163"/>
      <c r="AA53" s="163"/>
      <c r="AB53" s="160"/>
      <c r="AC53" s="26"/>
      <c r="AD53" s="25"/>
      <c r="AE53" s="25"/>
      <c r="AF53" s="25"/>
      <c r="AG53" s="25"/>
      <c r="AH53" s="25"/>
    </row>
    <row r="54" spans="2:34" s="20" customFormat="1" ht="43.5" customHeight="1" thickBot="1" x14ac:dyDescent="0.3">
      <c r="C54" s="126"/>
      <c r="D54" s="273" t="s">
        <v>20</v>
      </c>
      <c r="E54" s="274"/>
      <c r="F54" s="274"/>
      <c r="G54" s="274"/>
      <c r="H54" s="274"/>
      <c r="I54" s="12">
        <f>SUM(I52:I53)</f>
        <v>0</v>
      </c>
      <c r="J54" s="320"/>
      <c r="K54" s="320"/>
      <c r="L54" s="320"/>
      <c r="M54" s="320"/>
      <c r="N54" s="320"/>
      <c r="O54" s="320"/>
      <c r="P54" s="163"/>
      <c r="Q54" s="163"/>
      <c r="R54" s="163"/>
      <c r="S54" s="307"/>
      <c r="T54" s="320"/>
      <c r="U54" s="307"/>
      <c r="V54" s="307"/>
      <c r="W54" s="163"/>
      <c r="X54" s="163"/>
      <c r="Y54" s="163"/>
      <c r="Z54" s="163"/>
      <c r="AA54" s="163"/>
      <c r="AB54" s="147"/>
      <c r="AC54" s="38"/>
      <c r="AD54" s="38"/>
      <c r="AE54" s="38"/>
      <c r="AF54" s="38"/>
      <c r="AG54" s="38"/>
      <c r="AH54" s="25"/>
    </row>
    <row r="55" spans="2:34" s="89" customFormat="1" ht="21.75" customHeight="1" x14ac:dyDescent="0.25">
      <c r="C55" s="129"/>
      <c r="D55" s="87"/>
      <c r="E55" s="87"/>
      <c r="F55" s="87"/>
      <c r="G55" s="87"/>
      <c r="H55" s="87"/>
      <c r="I55" s="91"/>
      <c r="J55" s="320"/>
      <c r="K55" s="320"/>
      <c r="L55" s="320"/>
      <c r="M55" s="320"/>
      <c r="N55" s="320"/>
      <c r="O55" s="320"/>
      <c r="P55" s="163"/>
      <c r="Q55" s="163"/>
      <c r="R55" s="163"/>
      <c r="S55" s="307"/>
      <c r="T55" s="320"/>
      <c r="U55" s="307"/>
      <c r="V55" s="307"/>
      <c r="W55" s="163"/>
      <c r="X55" s="163"/>
      <c r="Y55" s="163"/>
      <c r="Z55" s="163"/>
      <c r="AA55" s="163"/>
      <c r="AB55" s="147"/>
      <c r="AC55" s="96"/>
      <c r="AD55" s="96"/>
      <c r="AE55" s="96"/>
      <c r="AF55" s="96"/>
      <c r="AG55" s="96"/>
      <c r="AH55" s="92"/>
    </row>
    <row r="56" spans="2:34" s="89" customFormat="1" ht="19.5" customHeight="1" x14ac:dyDescent="0.25">
      <c r="C56" s="129"/>
      <c r="D56" s="87"/>
      <c r="E56" s="87"/>
      <c r="F56" s="87"/>
      <c r="G56" s="87"/>
      <c r="H56" s="87"/>
      <c r="I56" s="91"/>
      <c r="J56" s="320"/>
      <c r="K56" s="320"/>
      <c r="L56" s="320"/>
      <c r="M56" s="320"/>
      <c r="N56" s="320"/>
      <c r="O56" s="320"/>
      <c r="P56" s="163"/>
      <c r="Q56" s="163"/>
      <c r="R56" s="163"/>
      <c r="S56" s="307">
        <f>C53*T56</f>
        <v>0</v>
      </c>
      <c r="T56" s="320">
        <f t="shared" si="0"/>
        <v>39.6</v>
      </c>
      <c r="U56" s="307">
        <v>220</v>
      </c>
      <c r="V56" s="307"/>
      <c r="W56" s="163"/>
      <c r="X56" s="163"/>
      <c r="Y56" s="163"/>
      <c r="Z56" s="163"/>
      <c r="AA56" s="163"/>
      <c r="AB56" s="147"/>
      <c r="AC56" s="96"/>
      <c r="AD56" s="96"/>
      <c r="AE56" s="96"/>
      <c r="AF56" s="96"/>
      <c r="AG56" s="96"/>
      <c r="AH56" s="92"/>
    </row>
    <row r="57" spans="2:34" s="20" customFormat="1" ht="21" customHeight="1" x14ac:dyDescent="0.25">
      <c r="B57" s="1"/>
      <c r="C57" s="129"/>
      <c r="D57" s="87"/>
      <c r="E57" s="87"/>
      <c r="F57" s="87"/>
      <c r="G57" s="87"/>
      <c r="H57" s="87"/>
      <c r="I57" s="11"/>
      <c r="J57" s="320"/>
      <c r="K57" s="320"/>
      <c r="L57" s="320"/>
      <c r="M57" s="320"/>
      <c r="N57" s="320"/>
      <c r="O57" s="320"/>
      <c r="P57" s="163"/>
      <c r="Q57" s="163"/>
      <c r="R57" s="163"/>
      <c r="S57" s="307"/>
      <c r="T57" s="320"/>
      <c r="U57" s="307"/>
      <c r="V57" s="307"/>
      <c r="W57" s="163"/>
      <c r="X57" s="163"/>
      <c r="Y57" s="163"/>
      <c r="Z57" s="163"/>
      <c r="AA57" s="163"/>
      <c r="AB57" s="160"/>
      <c r="AC57" s="26"/>
      <c r="AD57" s="25"/>
      <c r="AE57" s="25"/>
      <c r="AF57" s="25"/>
      <c r="AG57" s="25"/>
      <c r="AH57" s="25"/>
    </row>
    <row r="58" spans="2:34" s="20" customFormat="1" ht="21" customHeight="1" thickBot="1" x14ac:dyDescent="0.3">
      <c r="C58" s="129"/>
      <c r="D58" s="63"/>
      <c r="E58" s="64"/>
      <c r="F58" s="64"/>
      <c r="G58" s="64"/>
      <c r="H58" s="64"/>
      <c r="I58" s="129"/>
      <c r="J58" s="320"/>
      <c r="K58" s="320"/>
      <c r="L58" s="320"/>
      <c r="M58" s="320"/>
      <c r="N58" s="320"/>
      <c r="O58" s="320"/>
      <c r="P58" s="163"/>
      <c r="Q58" s="163"/>
      <c r="R58" s="163"/>
      <c r="S58" s="307"/>
      <c r="T58" s="320"/>
      <c r="U58" s="307"/>
      <c r="V58" s="307"/>
      <c r="W58" s="163"/>
      <c r="X58" s="163"/>
      <c r="Y58" s="163"/>
      <c r="Z58" s="163"/>
      <c r="AA58" s="163"/>
      <c r="AB58" s="160"/>
      <c r="AC58" s="26"/>
      <c r="AD58" s="25"/>
      <c r="AE58" s="25"/>
      <c r="AF58" s="25"/>
      <c r="AG58" s="25"/>
      <c r="AH58" s="25"/>
    </row>
    <row r="59" spans="2:34" ht="54.75" customHeight="1" thickBot="1" x14ac:dyDescent="0.3">
      <c r="B59" s="89"/>
      <c r="C59" s="98" t="s">
        <v>67</v>
      </c>
      <c r="D59" s="98">
        <f>U11</f>
        <v>7442.3879999999999</v>
      </c>
      <c r="E59" s="183" t="s">
        <v>112</v>
      </c>
      <c r="F59" s="184"/>
      <c r="G59" s="184"/>
      <c r="H59" s="185"/>
      <c r="I59" s="60">
        <f>$I$17*1</f>
        <v>0</v>
      </c>
      <c r="J59" s="320"/>
      <c r="K59" s="320"/>
      <c r="L59" s="320"/>
      <c r="M59" s="320"/>
      <c r="N59" s="320"/>
      <c r="O59" s="320"/>
      <c r="T59" s="320"/>
      <c r="AD59" s="14"/>
      <c r="AE59" s="14"/>
      <c r="AF59" s="14"/>
      <c r="AG59" s="14"/>
      <c r="AH59" s="14"/>
    </row>
    <row r="60" spans="2:34" ht="63.75" customHeight="1" x14ac:dyDescent="0.25">
      <c r="B60" s="1">
        <v>1</v>
      </c>
      <c r="C60" s="186" t="s">
        <v>84</v>
      </c>
      <c r="D60" s="187"/>
      <c r="E60" s="187"/>
      <c r="F60" s="187"/>
      <c r="G60" s="187"/>
      <c r="H60" s="188"/>
      <c r="I60" s="61"/>
      <c r="J60" s="320"/>
      <c r="K60" s="320"/>
      <c r="L60" s="320"/>
      <c r="M60" s="320"/>
      <c r="N60" s="320"/>
      <c r="O60" s="320"/>
      <c r="T60" s="320"/>
      <c r="AD60" s="14"/>
      <c r="AE60" s="14"/>
      <c r="AF60" s="14"/>
      <c r="AG60" s="14"/>
      <c r="AH60" s="14"/>
    </row>
    <row r="61" spans="2:34" ht="18" customHeight="1" x14ac:dyDescent="0.25">
      <c r="B61" s="20"/>
      <c r="C61" s="62">
        <f>IF(I59&lt;=H61,I59/U11,250)</f>
        <v>0</v>
      </c>
      <c r="D61" s="288" t="s">
        <v>62</v>
      </c>
      <c r="E61" s="289"/>
      <c r="F61" s="289"/>
      <c r="G61" s="290"/>
      <c r="H61" s="100">
        <f>U14</f>
        <v>1860596.925371805</v>
      </c>
      <c r="I61" s="34">
        <f>C61*ROUND(T62,2)</f>
        <v>0</v>
      </c>
      <c r="J61" s="320"/>
      <c r="K61" s="320"/>
      <c r="L61" s="320">
        <f>H62-G62</f>
        <v>7442386.7016281951</v>
      </c>
      <c r="M61" s="320">
        <f>L61/U11</f>
        <v>999.99982554365556</v>
      </c>
      <c r="N61" s="320"/>
      <c r="O61" s="320"/>
      <c r="T61" s="320"/>
      <c r="AD61" s="14"/>
      <c r="AE61" s="14"/>
      <c r="AF61" s="14"/>
      <c r="AG61" s="14"/>
      <c r="AH61" s="14"/>
    </row>
    <row r="62" spans="2:34" s="20" customFormat="1" ht="22.5" customHeight="1" x14ac:dyDescent="0.25">
      <c r="B62" s="1"/>
      <c r="C62" s="104">
        <f>IF(AND(I59&lt;=H62,I59&gt;G62),(I59-G62)/U11,IF(I59&gt;H62,1000,0))</f>
        <v>0</v>
      </c>
      <c r="D62" s="181" t="s">
        <v>63</v>
      </c>
      <c r="E62" s="182"/>
      <c r="F62" s="182"/>
      <c r="G62" s="103">
        <f>H61+1</f>
        <v>1860597.925371805</v>
      </c>
      <c r="H62" s="102">
        <f>U15</f>
        <v>9302984.6270000003</v>
      </c>
      <c r="I62" s="34">
        <f>ROUND(C62,0)*ROUND(T63,2)</f>
        <v>0</v>
      </c>
      <c r="J62" s="320"/>
      <c r="K62" s="320"/>
      <c r="L62" s="320"/>
      <c r="M62" s="320"/>
      <c r="N62" s="320"/>
      <c r="O62" s="320"/>
      <c r="P62" s="163"/>
      <c r="Q62" s="163"/>
      <c r="R62" s="163"/>
      <c r="S62" s="307"/>
      <c r="T62" s="320">
        <f t="shared" si="0"/>
        <v>20.7</v>
      </c>
      <c r="U62" s="307">
        <v>115</v>
      </c>
      <c r="V62" s="307"/>
      <c r="W62" s="163"/>
      <c r="X62" s="163"/>
      <c r="Y62" s="163"/>
      <c r="Z62" s="163"/>
      <c r="AA62" s="163"/>
      <c r="AB62" s="160"/>
      <c r="AC62" s="26"/>
      <c r="AD62" s="25"/>
      <c r="AE62" s="25"/>
      <c r="AF62" s="25"/>
      <c r="AG62" s="25"/>
      <c r="AH62" s="25"/>
    </row>
    <row r="63" spans="2:34" ht="18.75" customHeight="1" x14ac:dyDescent="0.25">
      <c r="C63" s="99">
        <f>IF(AND(I59&lt;=H63,I59&gt;G64),(I59-G63)/U11,IF(I59&gt;H63,1750,0))</f>
        <v>0</v>
      </c>
      <c r="D63" s="178" t="s">
        <v>64</v>
      </c>
      <c r="E63" s="291"/>
      <c r="F63" s="290"/>
      <c r="G63" s="102">
        <f>H62+1</f>
        <v>9302985.6270000003</v>
      </c>
      <c r="H63" s="102">
        <f>U16</f>
        <v>22327163.103999998</v>
      </c>
      <c r="I63" s="34">
        <f>ROUND(C63,0)*ROUND(T64,2)</f>
        <v>0</v>
      </c>
      <c r="J63" s="320"/>
      <c r="K63" s="320"/>
      <c r="L63" s="320"/>
      <c r="M63" s="320"/>
      <c r="N63" s="320"/>
      <c r="O63" s="320"/>
      <c r="T63" s="320">
        <f t="shared" si="0"/>
        <v>10.35</v>
      </c>
      <c r="U63" s="307">
        <v>57.5</v>
      </c>
      <c r="AD63" s="14"/>
      <c r="AE63" s="14"/>
      <c r="AF63" s="14"/>
      <c r="AG63" s="14"/>
      <c r="AH63" s="14"/>
    </row>
    <row r="64" spans="2:34" s="20" customFormat="1" ht="19.5" customHeight="1" x14ac:dyDescent="0.25">
      <c r="B64" s="1"/>
      <c r="C64" s="99">
        <f>IF(AND(I59&lt;=H64,I59&gt;G64),(I59-G64)/U11,IF(I59&gt;H64,2000,0))</f>
        <v>0</v>
      </c>
      <c r="D64" s="178" t="s">
        <v>66</v>
      </c>
      <c r="E64" s="291"/>
      <c r="F64" s="290"/>
      <c r="G64" s="102">
        <f>H63+1</f>
        <v>22327164.103999998</v>
      </c>
      <c r="H64" s="102">
        <f>U17</f>
        <v>37211938.506999999</v>
      </c>
      <c r="I64" s="34">
        <f>ROUND(C64,0)*ROUND(T65,2)</f>
        <v>0</v>
      </c>
      <c r="J64" s="320"/>
      <c r="K64" s="320"/>
      <c r="L64" s="320"/>
      <c r="M64" s="320"/>
      <c r="N64" s="320"/>
      <c r="O64" s="320"/>
      <c r="P64" s="163"/>
      <c r="Q64" s="163"/>
      <c r="R64" s="163"/>
      <c r="S64" s="307"/>
      <c r="T64" s="320">
        <f t="shared" si="0"/>
        <v>6.21</v>
      </c>
      <c r="U64" s="307">
        <v>34.5</v>
      </c>
      <c r="V64" s="307"/>
      <c r="W64" s="163"/>
      <c r="X64" s="163"/>
      <c r="Y64" s="163"/>
      <c r="Z64" s="163"/>
      <c r="AA64" s="163"/>
      <c r="AB64" s="160"/>
      <c r="AC64" s="26"/>
      <c r="AD64" s="25"/>
      <c r="AE64" s="25"/>
      <c r="AF64" s="25"/>
      <c r="AG64" s="25"/>
      <c r="AH64" s="25"/>
    </row>
    <row r="65" spans="2:34" ht="18" customHeight="1" x14ac:dyDescent="0.25">
      <c r="C65" s="62">
        <f>IF(I59&gt;=H65,(I59-H65)/U11,0)</f>
        <v>0</v>
      </c>
      <c r="D65" s="178" t="s">
        <v>65</v>
      </c>
      <c r="E65" s="291"/>
      <c r="F65" s="291"/>
      <c r="G65" s="290"/>
      <c r="H65" s="102">
        <f>H64+1</f>
        <v>37211939.506999999</v>
      </c>
      <c r="I65" s="34">
        <f>ROUND(C65,0)*ROUND(T66,2)</f>
        <v>0</v>
      </c>
      <c r="J65" s="320"/>
      <c r="K65" s="320"/>
      <c r="L65" s="320"/>
      <c r="M65" s="320"/>
      <c r="N65" s="320"/>
      <c r="O65" s="320"/>
      <c r="T65" s="320">
        <f t="shared" si="0"/>
        <v>3.6</v>
      </c>
      <c r="U65" s="307">
        <v>20</v>
      </c>
      <c r="AD65" s="14"/>
      <c r="AE65" s="14"/>
      <c r="AF65" s="14"/>
      <c r="AG65" s="14"/>
      <c r="AH65" s="14"/>
    </row>
    <row r="66" spans="2:34" ht="18" customHeight="1" thickBot="1" x14ac:dyDescent="0.3">
      <c r="C66" s="130"/>
      <c r="D66" s="210" t="s">
        <v>20</v>
      </c>
      <c r="E66" s="210"/>
      <c r="F66" s="210"/>
      <c r="G66" s="210"/>
      <c r="H66" s="210"/>
      <c r="I66" s="37">
        <f>SUM(I61:I65)</f>
        <v>0</v>
      </c>
      <c r="J66" s="320"/>
      <c r="K66" s="320"/>
      <c r="L66" s="320"/>
      <c r="M66" s="320"/>
      <c r="N66" s="320"/>
      <c r="O66" s="320"/>
      <c r="T66" s="320">
        <f t="shared" si="0"/>
        <v>2.0699999999999998</v>
      </c>
      <c r="U66" s="307">
        <v>11.5</v>
      </c>
      <c r="AD66" s="14"/>
      <c r="AE66" s="14"/>
      <c r="AF66" s="14"/>
      <c r="AG66" s="14"/>
      <c r="AH66" s="14"/>
    </row>
    <row r="67" spans="2:34" ht="18" customHeight="1" x14ac:dyDescent="0.25">
      <c r="C67" s="3"/>
      <c r="D67" s="8"/>
      <c r="E67" s="2"/>
      <c r="F67" s="2"/>
      <c r="G67" s="2"/>
      <c r="H67" s="2"/>
      <c r="I67" s="2"/>
      <c r="J67" s="322"/>
      <c r="K67" s="322"/>
      <c r="L67" s="322"/>
      <c r="M67" s="322"/>
      <c r="N67" s="322"/>
      <c r="O67" s="322"/>
      <c r="T67" s="320"/>
      <c r="AD67" s="14"/>
      <c r="AE67" s="14"/>
      <c r="AF67" s="14"/>
      <c r="AG67" s="14"/>
      <c r="AH67" s="14"/>
    </row>
    <row r="68" spans="2:34" ht="15" customHeight="1" x14ac:dyDescent="0.25">
      <c r="C68" s="3"/>
      <c r="D68" s="8"/>
      <c r="E68" s="23"/>
      <c r="F68" s="23"/>
      <c r="G68" s="23"/>
      <c r="H68" s="23"/>
      <c r="I68" s="23"/>
      <c r="J68" s="322"/>
      <c r="K68" s="322"/>
      <c r="L68" s="322"/>
      <c r="M68" s="322"/>
      <c r="N68" s="322"/>
      <c r="O68" s="322"/>
      <c r="T68" s="320"/>
      <c r="AD68" s="14"/>
      <c r="AE68" s="14"/>
      <c r="AF68" s="14"/>
      <c r="AG68" s="14"/>
      <c r="AH68" s="14"/>
    </row>
    <row r="69" spans="2:34" s="20" customFormat="1" ht="18" customHeight="1" thickBot="1" x14ac:dyDescent="0.3">
      <c r="C69" s="129"/>
      <c r="D69" s="63"/>
      <c r="E69" s="64"/>
      <c r="F69" s="64"/>
      <c r="G69" s="64"/>
      <c r="H69" s="64"/>
      <c r="I69" s="129"/>
      <c r="J69" s="322"/>
      <c r="K69" s="322"/>
      <c r="L69" s="322"/>
      <c r="M69" s="322"/>
      <c r="N69" s="322"/>
      <c r="O69" s="322"/>
      <c r="P69" s="163"/>
      <c r="Q69" s="163"/>
      <c r="R69" s="163"/>
      <c r="S69" s="307"/>
      <c r="T69" s="320"/>
      <c r="U69" s="307"/>
      <c r="V69" s="307"/>
      <c r="W69" s="163"/>
      <c r="X69" s="163"/>
      <c r="Y69" s="163"/>
      <c r="Z69" s="163"/>
      <c r="AA69" s="163"/>
      <c r="AB69" s="160"/>
      <c r="AC69" s="26"/>
      <c r="AD69" s="25"/>
      <c r="AE69" s="25"/>
      <c r="AF69" s="25"/>
      <c r="AG69" s="25"/>
      <c r="AH69" s="25"/>
    </row>
    <row r="70" spans="2:34" ht="54" customHeight="1" thickBot="1" x14ac:dyDescent="0.3">
      <c r="B70" s="20"/>
      <c r="C70" s="98" t="s">
        <v>67</v>
      </c>
      <c r="D70" s="98">
        <f>U11</f>
        <v>7442.3879999999999</v>
      </c>
      <c r="E70" s="183" t="s">
        <v>113</v>
      </c>
      <c r="F70" s="184"/>
      <c r="G70" s="184"/>
      <c r="H70" s="185"/>
      <c r="I70" s="60">
        <f>$I$18*0.65</f>
        <v>0</v>
      </c>
      <c r="J70" s="322"/>
      <c r="K70" s="322"/>
      <c r="L70" s="322"/>
      <c r="M70" s="322"/>
      <c r="N70" s="322"/>
      <c r="O70" s="322"/>
      <c r="T70" s="320"/>
      <c r="AD70" s="14"/>
      <c r="AE70" s="14"/>
      <c r="AF70" s="14"/>
      <c r="AG70" s="14"/>
      <c r="AH70" s="14"/>
    </row>
    <row r="71" spans="2:34" ht="51" customHeight="1" x14ac:dyDescent="0.25">
      <c r="B71" s="20">
        <v>2</v>
      </c>
      <c r="C71" s="186" t="s">
        <v>84</v>
      </c>
      <c r="D71" s="187"/>
      <c r="E71" s="187"/>
      <c r="F71" s="187"/>
      <c r="G71" s="187"/>
      <c r="H71" s="188"/>
      <c r="I71" s="61"/>
      <c r="J71" s="322"/>
      <c r="K71" s="322"/>
      <c r="L71" s="322"/>
      <c r="M71" s="322"/>
      <c r="N71" s="322"/>
      <c r="O71" s="322"/>
      <c r="T71" s="320"/>
      <c r="AD71" s="14"/>
      <c r="AE71" s="14"/>
      <c r="AF71" s="14"/>
      <c r="AG71" s="14"/>
      <c r="AH71" s="14"/>
    </row>
    <row r="72" spans="2:34" ht="18" customHeight="1" x14ac:dyDescent="0.25">
      <c r="B72" s="20"/>
      <c r="C72" s="99">
        <f>IF(I70&lt;=H72,I70/U11,250)</f>
        <v>0</v>
      </c>
      <c r="D72" s="178" t="s">
        <v>62</v>
      </c>
      <c r="E72" s="179"/>
      <c r="F72" s="179"/>
      <c r="G72" s="180"/>
      <c r="H72" s="100">
        <f>U14</f>
        <v>1860596.925371805</v>
      </c>
      <c r="I72" s="34">
        <f>C72*ROUND(T62,2)</f>
        <v>0</v>
      </c>
      <c r="J72" s="323"/>
      <c r="K72" s="323"/>
      <c r="L72" s="323"/>
      <c r="M72" s="323"/>
      <c r="N72" s="323"/>
      <c r="O72" s="323"/>
      <c r="T72" s="320"/>
      <c r="AD72" s="14"/>
      <c r="AE72" s="14"/>
      <c r="AF72" s="14"/>
      <c r="AG72" s="14"/>
      <c r="AH72" s="14"/>
    </row>
    <row r="73" spans="2:34" s="20" customFormat="1" ht="18" customHeight="1" x14ac:dyDescent="0.25">
      <c r="B73" s="1"/>
      <c r="C73" s="104">
        <f>IF(AND(I70&lt;=H73,I70&gt;G73),(I70-G73)/U11,IF(I70&gt;H73,1000,0))</f>
        <v>0</v>
      </c>
      <c r="D73" s="178" t="s">
        <v>63</v>
      </c>
      <c r="E73" s="179"/>
      <c r="F73" s="180"/>
      <c r="G73" s="103">
        <f>H72+1</f>
        <v>1860597.925371805</v>
      </c>
      <c r="H73" s="102">
        <f>U15</f>
        <v>9302984.6270000003</v>
      </c>
      <c r="I73" s="34">
        <f>ROUND(C73,0)*ROUND(T63,2)</f>
        <v>0</v>
      </c>
      <c r="J73" s="321"/>
      <c r="K73" s="321"/>
      <c r="L73" s="321"/>
      <c r="M73" s="321"/>
      <c r="N73" s="321"/>
      <c r="O73" s="321"/>
      <c r="P73" s="163"/>
      <c r="Q73" s="163"/>
      <c r="R73" s="163"/>
      <c r="S73" s="307"/>
      <c r="T73" s="320"/>
      <c r="U73" s="307"/>
      <c r="V73" s="307"/>
      <c r="W73" s="163"/>
      <c r="X73" s="163"/>
      <c r="Y73" s="163"/>
      <c r="Z73" s="163"/>
      <c r="AA73" s="163"/>
      <c r="AB73" s="160"/>
      <c r="AC73" s="26"/>
      <c r="AD73" s="25"/>
      <c r="AE73" s="25"/>
      <c r="AF73" s="25"/>
      <c r="AG73" s="25"/>
      <c r="AH73" s="25"/>
    </row>
    <row r="74" spans="2:34" s="20" customFormat="1" ht="18" customHeight="1" x14ac:dyDescent="0.25">
      <c r="C74" s="99">
        <f>IF(AND(I70&lt;=H74,I70&gt;G74),(I70-G74)/U11,IF(I70&gt;H74,1750,0))</f>
        <v>0</v>
      </c>
      <c r="D74" s="178" t="s">
        <v>64</v>
      </c>
      <c r="E74" s="179"/>
      <c r="F74" s="180"/>
      <c r="G74" s="102">
        <f>H73+1</f>
        <v>9302985.6270000003</v>
      </c>
      <c r="H74" s="102">
        <f>U16</f>
        <v>22327163.103999998</v>
      </c>
      <c r="I74" s="34">
        <f>ROUND(C74,0)*ROUND(T64,2)</f>
        <v>0</v>
      </c>
      <c r="J74" s="324"/>
      <c r="K74" s="324"/>
      <c r="L74" s="324"/>
      <c r="M74" s="324"/>
      <c r="N74" s="324"/>
      <c r="O74" s="324"/>
      <c r="P74" s="163"/>
      <c r="Q74" s="163"/>
      <c r="R74" s="163"/>
      <c r="S74" s="307"/>
      <c r="T74" s="320"/>
      <c r="U74" s="307"/>
      <c r="V74" s="307"/>
      <c r="W74" s="163"/>
      <c r="X74" s="163"/>
      <c r="Y74" s="163"/>
      <c r="Z74" s="163"/>
      <c r="AA74" s="163"/>
      <c r="AB74" s="160"/>
      <c r="AC74" s="26"/>
      <c r="AD74" s="25"/>
      <c r="AE74" s="25"/>
      <c r="AF74" s="25"/>
      <c r="AG74" s="25"/>
      <c r="AH74" s="25"/>
    </row>
    <row r="75" spans="2:34" s="20" customFormat="1" ht="18" customHeight="1" x14ac:dyDescent="0.25">
      <c r="B75" s="1"/>
      <c r="C75" s="99">
        <f>IF(AND(I70&lt;=H75,I70&gt;G75),(I70-G75)/U11,IF(I70&gt;H75,2000,0))</f>
        <v>0</v>
      </c>
      <c r="D75" s="178" t="s">
        <v>66</v>
      </c>
      <c r="E75" s="179"/>
      <c r="F75" s="180"/>
      <c r="G75" s="102">
        <f>H74+1</f>
        <v>22327164.103999998</v>
      </c>
      <c r="H75" s="102">
        <f>U17</f>
        <v>37211938.506999999</v>
      </c>
      <c r="I75" s="34">
        <f>ROUND(C75,0)*ROUND(T65,2)</f>
        <v>0</v>
      </c>
      <c r="J75" s="325"/>
      <c r="K75" s="325"/>
      <c r="L75" s="325"/>
      <c r="M75" s="325"/>
      <c r="N75" s="325"/>
      <c r="O75" s="325"/>
      <c r="P75" s="163"/>
      <c r="Q75" s="163"/>
      <c r="R75" s="163"/>
      <c r="S75" s="307"/>
      <c r="T75" s="320"/>
      <c r="U75" s="307"/>
      <c r="V75" s="307"/>
      <c r="W75" s="163"/>
      <c r="X75" s="163"/>
      <c r="Y75" s="163"/>
      <c r="Z75" s="163"/>
      <c r="AA75" s="163"/>
      <c r="AB75" s="160"/>
      <c r="AC75" s="26"/>
      <c r="AD75" s="25"/>
      <c r="AE75" s="25"/>
      <c r="AF75" s="25"/>
      <c r="AG75" s="25"/>
      <c r="AH75" s="25"/>
    </row>
    <row r="76" spans="2:34" ht="16.5" customHeight="1" x14ac:dyDescent="0.25">
      <c r="C76" s="99">
        <f>IF(I70&gt;=H76,(I70-H76)/U11,0)</f>
        <v>0</v>
      </c>
      <c r="D76" s="178" t="s">
        <v>65</v>
      </c>
      <c r="E76" s="179"/>
      <c r="F76" s="179"/>
      <c r="G76" s="180"/>
      <c r="H76" s="102">
        <f>H75+1</f>
        <v>37211939.506999999</v>
      </c>
      <c r="I76" s="34">
        <f>ROUND(C76,0)*ROUND(T66,2)</f>
        <v>0</v>
      </c>
      <c r="J76" s="320"/>
      <c r="K76" s="320"/>
      <c r="L76" s="320"/>
      <c r="M76" s="320"/>
      <c r="N76" s="320"/>
      <c r="O76" s="320"/>
      <c r="T76" s="320"/>
      <c r="AD76" s="14"/>
      <c r="AE76" s="14"/>
      <c r="AF76" s="14"/>
      <c r="AG76" s="14"/>
      <c r="AH76" s="14"/>
    </row>
    <row r="77" spans="2:34" s="20" customFormat="1" ht="25.5" customHeight="1" thickBot="1" x14ac:dyDescent="0.3">
      <c r="B77" s="1"/>
      <c r="C77" s="130"/>
      <c r="D77" s="210" t="s">
        <v>20</v>
      </c>
      <c r="E77" s="210"/>
      <c r="F77" s="210"/>
      <c r="G77" s="210"/>
      <c r="H77" s="210"/>
      <c r="I77" s="37">
        <f>SUM(I72:I76)</f>
        <v>0</v>
      </c>
      <c r="J77" s="320"/>
      <c r="K77" s="320"/>
      <c r="L77" s="320"/>
      <c r="M77" s="320"/>
      <c r="N77" s="320"/>
      <c r="O77" s="320"/>
      <c r="P77" s="163"/>
      <c r="Q77" s="163"/>
      <c r="R77" s="163"/>
      <c r="S77" s="307"/>
      <c r="T77" s="320"/>
      <c r="U77" s="307"/>
      <c r="V77" s="307"/>
      <c r="W77" s="163"/>
      <c r="X77" s="163"/>
      <c r="Y77" s="163"/>
      <c r="Z77" s="163"/>
      <c r="AA77" s="163"/>
      <c r="AB77" s="160"/>
      <c r="AC77" s="26"/>
      <c r="AD77" s="25"/>
      <c r="AE77" s="25"/>
      <c r="AF77" s="25"/>
      <c r="AG77" s="25"/>
      <c r="AH77" s="25"/>
    </row>
    <row r="78" spans="2:34" ht="27.75" customHeight="1" x14ac:dyDescent="0.25">
      <c r="C78" s="3"/>
      <c r="D78" s="8" t="s">
        <v>19</v>
      </c>
      <c r="E78" s="23"/>
      <c r="F78" s="23"/>
      <c r="G78" s="23"/>
      <c r="H78" s="23"/>
      <c r="I78" s="23"/>
      <c r="J78" s="320"/>
      <c r="K78" s="320"/>
      <c r="L78" s="320"/>
      <c r="M78" s="320"/>
      <c r="N78" s="320"/>
      <c r="O78" s="320"/>
      <c r="T78" s="320"/>
      <c r="AD78" s="14"/>
      <c r="AE78" s="14"/>
      <c r="AF78" s="14"/>
      <c r="AG78" s="14"/>
      <c r="AH78" s="14"/>
    </row>
    <row r="79" spans="2:34" ht="21" customHeight="1" thickBot="1" x14ac:dyDescent="0.3">
      <c r="C79" s="3"/>
      <c r="D79" s="8"/>
      <c r="E79" s="23"/>
      <c r="F79" s="23"/>
      <c r="G79" s="23"/>
      <c r="H79" s="23"/>
      <c r="I79" s="23"/>
      <c r="J79" s="320"/>
      <c r="K79" s="320"/>
      <c r="L79" s="320"/>
      <c r="M79" s="320"/>
      <c r="N79" s="320"/>
      <c r="O79" s="320"/>
      <c r="T79" s="320"/>
      <c r="AD79" s="14"/>
      <c r="AE79" s="14"/>
      <c r="AF79" s="14"/>
      <c r="AG79" s="14"/>
      <c r="AH79" s="14"/>
    </row>
    <row r="80" spans="2:34" s="20" customFormat="1" ht="45.75" customHeight="1" thickBot="1" x14ac:dyDescent="0.3">
      <c r="C80" s="98" t="s">
        <v>67</v>
      </c>
      <c r="D80" s="101">
        <f>U11</f>
        <v>7442.3879999999999</v>
      </c>
      <c r="E80" s="183" t="s">
        <v>114</v>
      </c>
      <c r="F80" s="184"/>
      <c r="G80" s="184"/>
      <c r="H80" s="185"/>
      <c r="I80" s="60">
        <f>$I$19*0.25</f>
        <v>0</v>
      </c>
      <c r="J80" s="320"/>
      <c r="K80" s="320"/>
      <c r="L80" s="320"/>
      <c r="M80" s="320"/>
      <c r="N80" s="320"/>
      <c r="O80" s="320"/>
      <c r="P80" s="163"/>
      <c r="Q80" s="163"/>
      <c r="R80" s="163"/>
      <c r="S80" s="307"/>
      <c r="T80" s="320"/>
      <c r="U80" s="307"/>
      <c r="V80" s="307"/>
      <c r="W80" s="163"/>
      <c r="X80" s="163"/>
      <c r="Y80" s="163"/>
      <c r="Z80" s="163"/>
      <c r="AA80" s="163"/>
      <c r="AB80" s="160"/>
      <c r="AC80" s="26"/>
      <c r="AD80" s="25"/>
      <c r="AE80" s="25"/>
      <c r="AF80" s="25"/>
      <c r="AG80" s="25"/>
      <c r="AH80" s="25"/>
    </row>
    <row r="81" spans="1:34" ht="27.75" customHeight="1" x14ac:dyDescent="0.25">
      <c r="B81" s="1">
        <v>3</v>
      </c>
      <c r="C81" s="186" t="s">
        <v>85</v>
      </c>
      <c r="D81" s="187"/>
      <c r="E81" s="187"/>
      <c r="F81" s="187"/>
      <c r="G81" s="187"/>
      <c r="H81" s="188"/>
      <c r="I81" s="61"/>
      <c r="J81" s="326"/>
      <c r="K81" s="326"/>
      <c r="L81" s="326"/>
      <c r="M81" s="326"/>
      <c r="N81" s="326"/>
      <c r="O81" s="326"/>
      <c r="T81" s="320"/>
      <c r="AD81" s="14"/>
      <c r="AE81" s="14"/>
      <c r="AF81" s="14"/>
      <c r="AG81" s="14"/>
      <c r="AH81" s="14"/>
    </row>
    <row r="82" spans="1:34" ht="21.75" customHeight="1" x14ac:dyDescent="0.25">
      <c r="C82" s="99">
        <f>IF(I80&lt;=H82,I80/U11,250)</f>
        <v>0</v>
      </c>
      <c r="D82" s="178" t="s">
        <v>62</v>
      </c>
      <c r="E82" s="179"/>
      <c r="F82" s="179"/>
      <c r="G82" s="180"/>
      <c r="H82" s="103">
        <f>U14</f>
        <v>1860596.925371805</v>
      </c>
      <c r="I82" s="34">
        <f>C82*ROUND(T62,2)</f>
        <v>0</v>
      </c>
      <c r="J82" s="326"/>
      <c r="K82" s="326"/>
      <c r="L82" s="326"/>
      <c r="M82" s="326"/>
      <c r="N82" s="326"/>
      <c r="O82" s="326"/>
      <c r="T82" s="320"/>
      <c r="AD82" s="14"/>
      <c r="AE82" s="14"/>
      <c r="AF82" s="14"/>
      <c r="AG82" s="14"/>
      <c r="AH82" s="14"/>
    </row>
    <row r="83" spans="1:34" ht="19.5" customHeight="1" x14ac:dyDescent="0.25">
      <c r="C83" s="99">
        <f>IF(AND(I80&lt;=H83,I80&gt;G83),(I80-G83)/U11,IF(I80&gt;H83,1000,0))</f>
        <v>0</v>
      </c>
      <c r="D83" s="178" t="s">
        <v>63</v>
      </c>
      <c r="E83" s="179"/>
      <c r="F83" s="180"/>
      <c r="G83" s="102">
        <f>H82+1</f>
        <v>1860597.925371805</v>
      </c>
      <c r="H83" s="105">
        <f>U15</f>
        <v>9302984.6270000003</v>
      </c>
      <c r="I83" s="34">
        <f>ROUND(C83,0)*ROUND(T63,2)</f>
        <v>0</v>
      </c>
      <c r="J83" s="307"/>
      <c r="K83" s="307"/>
      <c r="L83" s="307"/>
      <c r="M83" s="307"/>
      <c r="N83" s="307"/>
      <c r="O83" s="307"/>
      <c r="T83" s="320"/>
      <c r="AD83" s="14"/>
      <c r="AE83" s="14"/>
      <c r="AF83" s="14"/>
      <c r="AG83" s="14"/>
      <c r="AH83" s="14"/>
    </row>
    <row r="84" spans="1:34" ht="18.75" customHeight="1" x14ac:dyDescent="0.25">
      <c r="C84" s="99">
        <f>IF(AND(I80&lt;=H84,I80&gt;G84),(I80-G84)/U11,IF(I80&gt;H84,1750,0))</f>
        <v>0</v>
      </c>
      <c r="D84" s="178" t="s">
        <v>64</v>
      </c>
      <c r="E84" s="179"/>
      <c r="F84" s="180"/>
      <c r="G84" s="102">
        <f>H83+1</f>
        <v>9302985.6270000003</v>
      </c>
      <c r="H84" s="105">
        <f>U16</f>
        <v>22327163.103999998</v>
      </c>
      <c r="I84" s="34">
        <f>ROUND(C84,0)*ROUND(T64,2)</f>
        <v>0</v>
      </c>
      <c r="J84" s="327"/>
      <c r="K84" s="327"/>
      <c r="L84" s="327"/>
      <c r="M84" s="327"/>
      <c r="N84" s="327"/>
      <c r="O84" s="327"/>
      <c r="T84" s="320"/>
      <c r="AD84" s="14"/>
      <c r="AE84" s="14"/>
      <c r="AF84" s="14"/>
      <c r="AG84" s="14"/>
      <c r="AH84" s="14"/>
    </row>
    <row r="85" spans="1:34" ht="18.75" customHeight="1" x14ac:dyDescent="0.25">
      <c r="C85" s="99">
        <f>IF(AND(I80&lt;=H85,I80&gt;G85),(I80-G85)/U11,IF(I80&gt;H85,2000,0))</f>
        <v>0</v>
      </c>
      <c r="D85" s="178" t="s">
        <v>66</v>
      </c>
      <c r="E85" s="179"/>
      <c r="F85" s="180"/>
      <c r="G85" s="102">
        <f>H84+1</f>
        <v>22327164.103999998</v>
      </c>
      <c r="H85" s="105">
        <f>U17</f>
        <v>37211938.506999999</v>
      </c>
      <c r="I85" s="34">
        <f>ROUND(C85,0)*ROUND(T65,2)</f>
        <v>0</v>
      </c>
      <c r="J85" s="320"/>
      <c r="K85" s="320"/>
      <c r="L85" s="320"/>
      <c r="M85" s="320"/>
      <c r="N85" s="320"/>
      <c r="O85" s="320"/>
      <c r="P85" s="93"/>
      <c r="T85" s="320"/>
      <c r="AD85" s="14"/>
      <c r="AE85" s="14"/>
      <c r="AF85" s="14"/>
      <c r="AG85" s="14"/>
      <c r="AH85" s="14"/>
    </row>
    <row r="86" spans="1:34" ht="18.75" customHeight="1" x14ac:dyDescent="0.25">
      <c r="C86" s="99">
        <f>IF(I80&gt;=H86,(I80-H86)/U11,0)</f>
        <v>0</v>
      </c>
      <c r="D86" s="181" t="s">
        <v>65</v>
      </c>
      <c r="E86" s="182"/>
      <c r="F86" s="182"/>
      <c r="G86" s="182"/>
      <c r="H86" s="105">
        <f>H85+1</f>
        <v>37211939.506999999</v>
      </c>
      <c r="I86" s="34">
        <f>ROUND(C86,0)*ROUND(T66,2)</f>
        <v>0</v>
      </c>
      <c r="J86" s="309"/>
      <c r="K86" s="309"/>
      <c r="L86" s="309"/>
      <c r="M86" s="309"/>
      <c r="N86" s="309"/>
      <c r="O86" s="309"/>
      <c r="T86" s="320">
        <f>ROUND(U86*$U$1,2)</f>
        <v>855</v>
      </c>
      <c r="U86" s="328">
        <v>4750</v>
      </c>
      <c r="V86" s="329"/>
      <c r="AD86" s="14"/>
      <c r="AE86" s="14"/>
      <c r="AF86" s="14"/>
      <c r="AG86" s="14"/>
      <c r="AH86" s="14"/>
    </row>
    <row r="87" spans="1:34" ht="18.75" customHeight="1" thickBot="1" x14ac:dyDescent="0.3">
      <c r="C87" s="130"/>
      <c r="D87" s="210" t="s">
        <v>20</v>
      </c>
      <c r="E87" s="210"/>
      <c r="F87" s="210"/>
      <c r="G87" s="210"/>
      <c r="H87" s="210"/>
      <c r="I87" s="37">
        <f>SUM(I82:I86)</f>
        <v>0</v>
      </c>
      <c r="J87" s="309"/>
      <c r="K87" s="309"/>
      <c r="L87" s="309"/>
      <c r="M87" s="309"/>
      <c r="N87" s="309"/>
      <c r="O87" s="309"/>
      <c r="S87" s="163"/>
      <c r="T87" s="163"/>
      <c r="U87" s="163"/>
      <c r="AD87" s="14"/>
      <c r="AE87" s="14"/>
      <c r="AF87" s="14"/>
      <c r="AG87" s="14"/>
      <c r="AH87" s="14"/>
    </row>
    <row r="88" spans="1:34" s="89" customFormat="1" ht="18.75" customHeight="1" x14ac:dyDescent="0.25">
      <c r="C88" s="129"/>
      <c r="D88" s="8" t="s">
        <v>19</v>
      </c>
      <c r="E88" s="87"/>
      <c r="F88" s="87"/>
      <c r="G88" s="87"/>
      <c r="H88" s="87"/>
      <c r="I88" s="91"/>
      <c r="J88" s="309"/>
      <c r="K88" s="309"/>
      <c r="L88" s="309"/>
      <c r="M88" s="309"/>
      <c r="N88" s="309"/>
      <c r="O88" s="309"/>
      <c r="P88" s="163"/>
      <c r="Q88" s="163"/>
      <c r="R88" s="163"/>
      <c r="S88" s="163"/>
      <c r="T88" s="163"/>
      <c r="U88" s="163"/>
      <c r="V88" s="307"/>
      <c r="W88" s="163"/>
      <c r="X88" s="163"/>
      <c r="Y88" s="163"/>
      <c r="Z88" s="163"/>
      <c r="AA88" s="163"/>
      <c r="AB88" s="160"/>
      <c r="AC88" s="95"/>
      <c r="AD88" s="92"/>
      <c r="AE88" s="92"/>
      <c r="AF88" s="92"/>
      <c r="AG88" s="92"/>
      <c r="AH88" s="92"/>
    </row>
    <row r="89" spans="1:34" ht="18.75" customHeight="1" thickBot="1" x14ac:dyDescent="0.3">
      <c r="C89" s="129"/>
      <c r="D89" s="87"/>
      <c r="E89" s="87"/>
      <c r="F89" s="87"/>
      <c r="G89" s="87"/>
      <c r="H89" s="87"/>
      <c r="I89" s="11"/>
      <c r="J89" s="309"/>
      <c r="K89" s="309"/>
      <c r="L89" s="309"/>
      <c r="M89" s="309"/>
      <c r="N89" s="309"/>
      <c r="O89" s="309"/>
      <c r="S89" s="163"/>
      <c r="T89" s="163"/>
      <c r="U89" s="163"/>
      <c r="AD89" s="14"/>
      <c r="AE89" s="14"/>
      <c r="AF89" s="14"/>
      <c r="AG89" s="14"/>
      <c r="AH89" s="14"/>
    </row>
    <row r="90" spans="1:34" s="20" customFormat="1" ht="58.5" customHeight="1" thickBot="1" x14ac:dyDescent="0.3">
      <c r="C90" s="98" t="s">
        <v>68</v>
      </c>
      <c r="D90" s="101">
        <f>U11</f>
        <v>7442.3879999999999</v>
      </c>
      <c r="E90" s="183" t="s">
        <v>115</v>
      </c>
      <c r="F90" s="184"/>
      <c r="G90" s="184"/>
      <c r="H90" s="185"/>
      <c r="I90" s="60">
        <f>$I$20*0.5</f>
        <v>0</v>
      </c>
      <c r="J90" s="309"/>
      <c r="K90" s="309"/>
      <c r="L90" s="309"/>
      <c r="M90" s="309"/>
      <c r="N90" s="309"/>
      <c r="O90" s="309"/>
      <c r="P90" s="163"/>
      <c r="Q90" s="163"/>
      <c r="R90" s="163"/>
      <c r="S90" s="163"/>
      <c r="T90" s="163"/>
      <c r="U90" s="163"/>
      <c r="V90" s="307"/>
      <c r="W90" s="163"/>
      <c r="X90" s="163"/>
      <c r="Y90" s="163"/>
      <c r="Z90" s="163"/>
      <c r="AA90" s="163"/>
      <c r="AB90" s="160"/>
      <c r="AC90" s="26"/>
      <c r="AD90" s="25"/>
      <c r="AE90" s="25"/>
      <c r="AF90" s="25"/>
      <c r="AG90" s="25"/>
      <c r="AH90" s="25"/>
    </row>
    <row r="91" spans="1:34" customFormat="1" ht="24.75" customHeight="1" x14ac:dyDescent="0.25">
      <c r="A91" s="19"/>
      <c r="B91" s="20">
        <v>4</v>
      </c>
      <c r="C91" s="186" t="s">
        <v>84</v>
      </c>
      <c r="D91" s="187"/>
      <c r="E91" s="187"/>
      <c r="F91" s="187"/>
      <c r="G91" s="187"/>
      <c r="H91" s="188"/>
      <c r="I91" s="61"/>
      <c r="J91" s="307"/>
      <c r="K91" s="307"/>
      <c r="L91" s="307"/>
      <c r="M91" s="307"/>
      <c r="N91" s="307"/>
      <c r="O91" s="307"/>
      <c r="P91" s="163"/>
      <c r="Q91" s="163"/>
      <c r="R91" s="163"/>
      <c r="S91" s="163"/>
      <c r="T91" s="163"/>
      <c r="U91" s="163"/>
      <c r="V91" s="307"/>
      <c r="W91" s="13"/>
      <c r="X91" s="13"/>
      <c r="Y91" s="13"/>
      <c r="Z91" s="13"/>
      <c r="AA91" s="13"/>
      <c r="AB91" s="18"/>
      <c r="AC91" s="18"/>
      <c r="AD91" s="13"/>
      <c r="AE91" s="13"/>
      <c r="AF91" s="13"/>
      <c r="AG91" s="13"/>
      <c r="AH91" s="13"/>
    </row>
    <row r="92" spans="1:34" ht="22.5" customHeight="1" x14ac:dyDescent="0.25">
      <c r="B92" s="3"/>
      <c r="C92" s="99">
        <f>IF(I90&lt;=H92,I90/U11,250)</f>
        <v>0</v>
      </c>
      <c r="D92" s="178" t="s">
        <v>62</v>
      </c>
      <c r="E92" s="179"/>
      <c r="F92" s="179"/>
      <c r="G92" s="180"/>
      <c r="H92" s="103">
        <f>U14</f>
        <v>1860596.925371805</v>
      </c>
      <c r="I92" s="34">
        <f>C92*ROUND(T62,2)</f>
        <v>0</v>
      </c>
      <c r="J92" s="321"/>
      <c r="K92" s="321"/>
      <c r="L92" s="321"/>
      <c r="M92" s="321"/>
      <c r="N92" s="321"/>
      <c r="O92" s="321"/>
      <c r="S92" s="163"/>
      <c r="T92" s="163"/>
      <c r="U92" s="163"/>
      <c r="AD92" s="14"/>
      <c r="AE92" s="14"/>
      <c r="AF92" s="14"/>
      <c r="AG92" s="14"/>
      <c r="AH92" s="14"/>
    </row>
    <row r="93" spans="1:34" ht="23.25" customHeight="1" x14ac:dyDescent="0.25">
      <c r="C93" s="99">
        <f>IF(AND(I90&lt;=H93,I90&gt;G93),(I90-G93)/U11,IF(I90&gt;H93,1000,0))</f>
        <v>0</v>
      </c>
      <c r="D93" s="178" t="s">
        <v>69</v>
      </c>
      <c r="E93" s="179"/>
      <c r="F93" s="180"/>
      <c r="G93" s="102">
        <f>H92+1</f>
        <v>1860597.925371805</v>
      </c>
      <c r="H93" s="105">
        <f>U15</f>
        <v>9302984.6270000003</v>
      </c>
      <c r="I93" s="34">
        <f>ROUND(C93,0)*ROUND(T63,2)</f>
        <v>0</v>
      </c>
      <c r="J93" s="320"/>
      <c r="K93" s="320"/>
      <c r="L93" s="320"/>
      <c r="M93" s="320"/>
      <c r="N93" s="320"/>
      <c r="O93" s="320"/>
      <c r="S93" s="163"/>
      <c r="T93" s="163"/>
      <c r="U93" s="163"/>
      <c r="AD93" s="14"/>
      <c r="AE93" s="14"/>
      <c r="AF93" s="14"/>
      <c r="AG93" s="14"/>
      <c r="AH93" s="14"/>
    </row>
    <row r="94" spans="1:34" s="20" customFormat="1" ht="18.75" customHeight="1" x14ac:dyDescent="0.25">
      <c r="B94" s="1"/>
      <c r="C94" s="99">
        <f>IF(AND(I90&lt;=H94,I90&gt;G94),(I90-G94)/U11,IF(I90&gt;H94,1750,0))</f>
        <v>0</v>
      </c>
      <c r="D94" s="178" t="s">
        <v>64</v>
      </c>
      <c r="E94" s="179"/>
      <c r="F94" s="180"/>
      <c r="G94" s="102">
        <f>H93+1</f>
        <v>9302985.6270000003</v>
      </c>
      <c r="H94" s="105">
        <f>U16</f>
        <v>22327163.103999998</v>
      </c>
      <c r="I94" s="34">
        <f>ROUND(C94,0)*ROUND(T64,2)</f>
        <v>0</v>
      </c>
      <c r="J94" s="320"/>
      <c r="K94" s="320"/>
      <c r="L94" s="320"/>
      <c r="M94" s="320"/>
      <c r="N94" s="320"/>
      <c r="O94" s="320"/>
      <c r="P94" s="163"/>
      <c r="Q94" s="163"/>
      <c r="R94" s="163"/>
      <c r="S94" s="163"/>
      <c r="T94" s="163"/>
      <c r="U94" s="163"/>
      <c r="V94" s="307"/>
      <c r="W94" s="163"/>
      <c r="X94" s="163"/>
      <c r="Y94" s="163"/>
      <c r="Z94" s="163"/>
      <c r="AA94" s="163"/>
      <c r="AB94" s="160"/>
      <c r="AC94" s="26"/>
      <c r="AD94" s="25"/>
      <c r="AE94" s="25"/>
      <c r="AF94" s="25"/>
      <c r="AG94" s="25"/>
      <c r="AH94" s="25"/>
    </row>
    <row r="95" spans="1:34" ht="15.75" customHeight="1" x14ac:dyDescent="0.25">
      <c r="C95" s="99">
        <f>IF(AND(I90&lt;=H95,I90&gt;G95),(I90-G95)/U11,IF(I90&gt;H95,2000,0))</f>
        <v>0</v>
      </c>
      <c r="D95" s="178" t="s">
        <v>66</v>
      </c>
      <c r="E95" s="179"/>
      <c r="F95" s="180"/>
      <c r="G95" s="102">
        <f>H94+1</f>
        <v>22327164.103999998</v>
      </c>
      <c r="H95" s="105">
        <f>U17</f>
        <v>37211938.506999999</v>
      </c>
      <c r="I95" s="34">
        <f>ROUND(C95,0)*ROUND(T65,2)</f>
        <v>0</v>
      </c>
      <c r="J95" s="320"/>
      <c r="K95" s="320"/>
      <c r="L95" s="320"/>
      <c r="M95" s="320"/>
      <c r="N95" s="320"/>
      <c r="O95" s="320"/>
      <c r="S95" s="163"/>
      <c r="T95" s="163"/>
      <c r="U95" s="163"/>
      <c r="AD95" s="14"/>
      <c r="AE95" s="14"/>
      <c r="AF95" s="14"/>
      <c r="AG95" s="14"/>
      <c r="AH95" s="14"/>
    </row>
    <row r="96" spans="1:34" ht="21.75" customHeight="1" x14ac:dyDescent="0.25">
      <c r="C96" s="99">
        <f>IF(I90&gt;=H96,(I90-H96)/U11,0)</f>
        <v>0</v>
      </c>
      <c r="D96" s="181" t="s">
        <v>65</v>
      </c>
      <c r="E96" s="182"/>
      <c r="F96" s="182"/>
      <c r="G96" s="182"/>
      <c r="H96" s="105">
        <f>H95+1</f>
        <v>37211939.506999999</v>
      </c>
      <c r="I96" s="34">
        <f>ROUND(C96,0)*ROUND(T66,2)</f>
        <v>0</v>
      </c>
      <c r="J96" s="320"/>
      <c r="K96" s="320"/>
      <c r="L96" s="320"/>
      <c r="M96" s="320"/>
      <c r="N96" s="320"/>
      <c r="O96" s="320"/>
      <c r="S96" s="163"/>
      <c r="T96" s="163"/>
      <c r="U96" s="163"/>
      <c r="AD96" s="14"/>
      <c r="AE96" s="14"/>
      <c r="AF96" s="14"/>
      <c r="AG96" s="14"/>
      <c r="AH96" s="14"/>
    </row>
    <row r="97" spans="2:34" ht="22.5" customHeight="1" thickBot="1" x14ac:dyDescent="0.3">
      <c r="C97" s="130"/>
      <c r="D97" s="210" t="s">
        <v>20</v>
      </c>
      <c r="E97" s="210"/>
      <c r="F97" s="210"/>
      <c r="G97" s="210"/>
      <c r="H97" s="210"/>
      <c r="I97" s="37">
        <f>SUM(I92:I96)</f>
        <v>0</v>
      </c>
      <c r="J97" s="320"/>
      <c r="K97" s="320"/>
      <c r="L97" s="320"/>
      <c r="M97" s="320"/>
      <c r="N97" s="320"/>
      <c r="O97" s="320"/>
      <c r="S97" s="163"/>
      <c r="T97" s="163"/>
      <c r="U97" s="163"/>
      <c r="AD97" s="14"/>
      <c r="AE97" s="14"/>
      <c r="AF97" s="14"/>
      <c r="AG97" s="14"/>
      <c r="AH97" s="14"/>
    </row>
    <row r="98" spans="2:34" s="89" customFormat="1" ht="22.5" customHeight="1" x14ac:dyDescent="0.25">
      <c r="C98" s="129"/>
      <c r="D98" s="8" t="s">
        <v>19</v>
      </c>
      <c r="E98" s="87"/>
      <c r="F98" s="87"/>
      <c r="G98" s="87"/>
      <c r="H98" s="87"/>
      <c r="I98" s="91"/>
      <c r="J98" s="320"/>
      <c r="K98" s="320"/>
      <c r="L98" s="320"/>
      <c r="M98" s="320"/>
      <c r="N98" s="320"/>
      <c r="O98" s="320"/>
      <c r="P98" s="163"/>
      <c r="Q98" s="163"/>
      <c r="R98" s="163"/>
      <c r="S98" s="163"/>
      <c r="T98" s="163"/>
      <c r="U98" s="163"/>
      <c r="V98" s="307"/>
      <c r="W98" s="163"/>
      <c r="X98" s="163"/>
      <c r="Y98" s="163"/>
      <c r="Z98" s="163"/>
      <c r="AA98" s="163"/>
      <c r="AB98" s="160"/>
      <c r="AC98" s="95"/>
      <c r="AD98" s="92"/>
      <c r="AE98" s="92"/>
      <c r="AF98" s="92"/>
      <c r="AG98" s="92"/>
      <c r="AH98" s="92"/>
    </row>
    <row r="99" spans="2:34" ht="19.5" customHeight="1" thickBot="1" x14ac:dyDescent="0.3">
      <c r="C99" s="3"/>
      <c r="D99" s="8"/>
      <c r="E99" s="23"/>
      <c r="F99" s="23"/>
      <c r="G99" s="23"/>
      <c r="H99" s="23"/>
      <c r="I99" s="23"/>
      <c r="J99" s="320"/>
      <c r="K99" s="320"/>
      <c r="L99" s="320"/>
      <c r="M99" s="320"/>
      <c r="N99" s="320"/>
      <c r="O99" s="320"/>
      <c r="S99" s="163"/>
      <c r="T99" s="163"/>
      <c r="U99" s="163"/>
      <c r="AD99" s="14"/>
      <c r="AE99" s="14"/>
      <c r="AF99" s="14"/>
      <c r="AG99" s="14"/>
      <c r="AH99" s="14"/>
    </row>
    <row r="100" spans="2:34" ht="40.5" customHeight="1" thickBot="1" x14ac:dyDescent="0.3">
      <c r="C100" s="98" t="s">
        <v>68</v>
      </c>
      <c r="D100" s="101">
        <f>U11</f>
        <v>7442.3879999999999</v>
      </c>
      <c r="E100" s="183" t="s">
        <v>116</v>
      </c>
      <c r="F100" s="184"/>
      <c r="G100" s="184"/>
      <c r="H100" s="185"/>
      <c r="I100" s="60">
        <f>$I$21*0.15</f>
        <v>0</v>
      </c>
      <c r="J100" s="320"/>
      <c r="K100" s="320"/>
      <c r="L100" s="320"/>
      <c r="M100" s="320"/>
      <c r="N100" s="320"/>
      <c r="O100" s="320"/>
      <c r="S100" s="163"/>
      <c r="T100" s="163"/>
      <c r="U100" s="163"/>
      <c r="AD100" s="14"/>
      <c r="AE100" s="14"/>
      <c r="AF100" s="14"/>
      <c r="AG100" s="14"/>
      <c r="AH100" s="14"/>
    </row>
    <row r="101" spans="2:34" s="20" customFormat="1" ht="27" customHeight="1" x14ac:dyDescent="0.25">
      <c r="B101" s="20">
        <v>5</v>
      </c>
      <c r="C101" s="186" t="s">
        <v>84</v>
      </c>
      <c r="D101" s="187"/>
      <c r="E101" s="187"/>
      <c r="F101" s="187"/>
      <c r="G101" s="187"/>
      <c r="H101" s="188"/>
      <c r="I101" s="61"/>
      <c r="J101" s="320"/>
      <c r="K101" s="320"/>
      <c r="L101" s="320"/>
      <c r="M101" s="320"/>
      <c r="N101" s="320"/>
      <c r="O101" s="320"/>
      <c r="P101" s="163"/>
      <c r="Q101" s="163"/>
      <c r="R101" s="163"/>
      <c r="S101" s="163"/>
      <c r="T101" s="163"/>
      <c r="U101" s="163"/>
      <c r="V101" s="307"/>
      <c r="W101" s="163"/>
      <c r="X101" s="163"/>
      <c r="Y101" s="163"/>
      <c r="Z101" s="163"/>
      <c r="AA101" s="163"/>
      <c r="AB101" s="160"/>
      <c r="AC101" s="26"/>
      <c r="AD101" s="25"/>
      <c r="AE101" s="25"/>
      <c r="AF101" s="25"/>
      <c r="AG101" s="25"/>
      <c r="AH101" s="25"/>
    </row>
    <row r="102" spans="2:34" ht="15.75" customHeight="1" x14ac:dyDescent="0.25">
      <c r="C102" s="99">
        <f>IF(I100&lt;=H102,I100/U11,250)</f>
        <v>0</v>
      </c>
      <c r="D102" s="178" t="s">
        <v>70</v>
      </c>
      <c r="E102" s="179"/>
      <c r="F102" s="179"/>
      <c r="G102" s="180"/>
      <c r="H102" s="103">
        <f>U14</f>
        <v>1860596.925371805</v>
      </c>
      <c r="I102" s="34">
        <f>C102*ROUND(T62,2)</f>
        <v>0</v>
      </c>
      <c r="J102" s="320"/>
      <c r="K102" s="320"/>
      <c r="L102" s="320"/>
      <c r="M102" s="320"/>
      <c r="N102" s="320"/>
      <c r="O102" s="320"/>
      <c r="S102" s="163"/>
      <c r="T102" s="163"/>
      <c r="U102" s="163"/>
      <c r="AD102" s="14"/>
      <c r="AE102" s="14"/>
      <c r="AF102" s="14"/>
      <c r="AG102" s="14"/>
      <c r="AH102" s="14"/>
    </row>
    <row r="103" spans="2:34" ht="15.75" customHeight="1" x14ac:dyDescent="0.25">
      <c r="C103" s="99">
        <f>IF(AND(I100&lt;=H103,I100&gt;G103),(I100-G103)/U11,IF(I100&gt;H103,1000,0))</f>
        <v>0</v>
      </c>
      <c r="D103" s="178" t="s">
        <v>69</v>
      </c>
      <c r="E103" s="179"/>
      <c r="F103" s="180"/>
      <c r="G103" s="102">
        <f>H102+1</f>
        <v>1860597.925371805</v>
      </c>
      <c r="H103" s="105">
        <f>U15</f>
        <v>9302984.6270000003</v>
      </c>
      <c r="I103" s="34">
        <f>ROUND(C103,0)*ROUND(T63,2)</f>
        <v>0</v>
      </c>
      <c r="J103" s="320"/>
      <c r="K103" s="320"/>
      <c r="L103" s="320"/>
      <c r="M103" s="320"/>
      <c r="N103" s="320"/>
      <c r="O103" s="320"/>
      <c r="S103" s="163"/>
      <c r="T103" s="163"/>
      <c r="U103" s="163"/>
      <c r="AD103" s="14"/>
      <c r="AE103" s="14"/>
      <c r="AF103" s="14"/>
      <c r="AG103" s="14"/>
      <c r="AH103" s="14"/>
    </row>
    <row r="104" spans="2:34" ht="14.25" customHeight="1" x14ac:dyDescent="0.25">
      <c r="C104" s="99">
        <f>IF(AND(I100&lt;=H104,I100&gt;G104),(I100-G104)/U11,IF(I100&gt;H104,1750,0))</f>
        <v>0</v>
      </c>
      <c r="D104" s="178" t="s">
        <v>66</v>
      </c>
      <c r="E104" s="179"/>
      <c r="F104" s="180"/>
      <c r="G104" s="102">
        <f>H103+1</f>
        <v>9302985.6270000003</v>
      </c>
      <c r="H104" s="105">
        <f>U16</f>
        <v>22327163.103999998</v>
      </c>
      <c r="I104" s="34">
        <f>ROUND(C104,0)*ROUND(T64,2)</f>
        <v>0</v>
      </c>
      <c r="J104" s="320"/>
      <c r="K104" s="320"/>
      <c r="L104" s="320"/>
      <c r="M104" s="320"/>
      <c r="N104" s="320"/>
      <c r="O104" s="320"/>
      <c r="S104" s="163"/>
      <c r="T104" s="163"/>
      <c r="U104" s="163"/>
      <c r="AD104" s="14"/>
      <c r="AE104" s="14"/>
      <c r="AF104" s="14"/>
      <c r="AG104" s="14"/>
      <c r="AH104" s="14"/>
    </row>
    <row r="105" spans="2:34" ht="13.5" customHeight="1" x14ac:dyDescent="0.25">
      <c r="C105" s="99">
        <f>IF(AND(I100&lt;=H105,I100&gt;G105),(I100-G105)/U11,IF(I100&gt;H105,2000,0))</f>
        <v>0</v>
      </c>
      <c r="D105" s="178" t="s">
        <v>66</v>
      </c>
      <c r="E105" s="179"/>
      <c r="F105" s="180"/>
      <c r="G105" s="102">
        <f>H104+1</f>
        <v>22327164.103999998</v>
      </c>
      <c r="H105" s="105">
        <f>U17</f>
        <v>37211938.506999999</v>
      </c>
      <c r="I105" s="34">
        <f>ROUND(C105,0)*ROUND(T65,2)</f>
        <v>0</v>
      </c>
      <c r="J105" s="320"/>
      <c r="K105" s="320"/>
      <c r="L105" s="320"/>
      <c r="M105" s="320"/>
      <c r="N105" s="320"/>
      <c r="O105" s="320"/>
      <c r="S105" s="163"/>
      <c r="T105" s="163"/>
      <c r="U105" s="163"/>
      <c r="AD105" s="14"/>
      <c r="AE105" s="14"/>
      <c r="AF105" s="14"/>
      <c r="AG105" s="14"/>
      <c r="AH105" s="14"/>
    </row>
    <row r="106" spans="2:34" ht="18.75" customHeight="1" x14ac:dyDescent="0.25">
      <c r="C106" s="99">
        <f>IF(I100&gt;=H106,(I100-H106)/U11,0)</f>
        <v>0</v>
      </c>
      <c r="D106" s="181" t="s">
        <v>71</v>
      </c>
      <c r="E106" s="182"/>
      <c r="F106" s="182"/>
      <c r="G106" s="182"/>
      <c r="H106" s="105">
        <f>H105+1</f>
        <v>37211939.506999999</v>
      </c>
      <c r="I106" s="34">
        <f>ROUND(C106,0)*ROUND(T66,2)</f>
        <v>0</v>
      </c>
      <c r="J106" s="320"/>
      <c r="K106" s="320"/>
      <c r="L106" s="320"/>
      <c r="M106" s="320"/>
      <c r="N106" s="320"/>
      <c r="O106" s="320"/>
      <c r="S106" s="163"/>
      <c r="T106" s="163"/>
      <c r="U106" s="163"/>
      <c r="AD106" s="14"/>
      <c r="AE106" s="14"/>
      <c r="AF106" s="14"/>
      <c r="AG106" s="14"/>
      <c r="AH106" s="14"/>
    </row>
    <row r="107" spans="2:34" ht="15.75" customHeight="1" thickBot="1" x14ac:dyDescent="0.3">
      <c r="C107" s="130"/>
      <c r="D107" s="210" t="s">
        <v>20</v>
      </c>
      <c r="E107" s="210"/>
      <c r="F107" s="210"/>
      <c r="G107" s="210"/>
      <c r="H107" s="210"/>
      <c r="I107" s="37">
        <f>SUM(I102:I106)</f>
        <v>0</v>
      </c>
      <c r="J107" s="320"/>
      <c r="K107" s="320"/>
      <c r="L107" s="320"/>
      <c r="M107" s="320"/>
      <c r="N107" s="320"/>
      <c r="O107" s="320"/>
      <c r="S107" s="163"/>
      <c r="T107" s="163"/>
      <c r="U107" s="163"/>
      <c r="AD107" s="14"/>
      <c r="AE107" s="14"/>
      <c r="AF107" s="14"/>
      <c r="AG107" s="14"/>
      <c r="AH107" s="14"/>
    </row>
    <row r="108" spans="2:34" x14ac:dyDescent="0.25">
      <c r="C108" s="3"/>
      <c r="D108" s="8" t="s">
        <v>19</v>
      </c>
      <c r="E108" s="23"/>
      <c r="F108" s="23"/>
      <c r="G108" s="23"/>
      <c r="H108" s="23"/>
      <c r="I108" s="23"/>
      <c r="J108" s="320"/>
      <c r="K108" s="320"/>
      <c r="L108" s="320"/>
      <c r="M108" s="320"/>
      <c r="N108" s="320"/>
      <c r="O108" s="320"/>
      <c r="S108" s="163"/>
      <c r="T108" s="163"/>
      <c r="U108" s="163"/>
      <c r="AD108" s="14"/>
      <c r="AE108" s="14"/>
      <c r="AF108" s="14"/>
      <c r="AG108" s="14"/>
      <c r="AH108" s="14"/>
    </row>
    <row r="109" spans="2:34" s="149" customFormat="1" ht="16.5" thickBot="1" x14ac:dyDescent="0.3">
      <c r="C109" s="151"/>
      <c r="D109" s="152"/>
      <c r="E109" s="150"/>
      <c r="F109" s="150"/>
      <c r="G109" s="150"/>
      <c r="H109" s="150"/>
      <c r="I109" s="150"/>
      <c r="J109" s="320"/>
      <c r="K109" s="320"/>
      <c r="L109" s="320"/>
      <c r="M109" s="320"/>
      <c r="N109" s="320"/>
      <c r="O109" s="320"/>
      <c r="P109" s="163"/>
      <c r="Q109" s="163"/>
      <c r="R109" s="163"/>
      <c r="S109" s="163"/>
      <c r="T109" s="163"/>
      <c r="U109" s="163"/>
      <c r="V109" s="307"/>
      <c r="W109" s="163"/>
      <c r="X109" s="163"/>
      <c r="Y109" s="163"/>
      <c r="Z109" s="163"/>
      <c r="AA109" s="163"/>
      <c r="AB109" s="160"/>
      <c r="AC109" s="153"/>
      <c r="AD109" s="155"/>
      <c r="AE109" s="155"/>
      <c r="AF109" s="155"/>
      <c r="AG109" s="155"/>
      <c r="AH109" s="155"/>
    </row>
    <row r="110" spans="2:34" s="149" customFormat="1" ht="30.75" thickBot="1" x14ac:dyDescent="0.3">
      <c r="B110" s="166"/>
      <c r="C110" s="167" t="s">
        <v>68</v>
      </c>
      <c r="D110" s="168">
        <f>U11</f>
        <v>7442.3879999999999</v>
      </c>
      <c r="E110" s="295" t="s">
        <v>117</v>
      </c>
      <c r="F110" s="296"/>
      <c r="G110" s="296"/>
      <c r="H110" s="297"/>
      <c r="I110" s="161">
        <f>$I$22*0.25</f>
        <v>0</v>
      </c>
      <c r="J110" s="320"/>
      <c r="K110" s="320"/>
      <c r="L110" s="320"/>
      <c r="M110" s="320"/>
      <c r="N110" s="320"/>
      <c r="O110" s="320"/>
      <c r="P110" s="163"/>
      <c r="Q110" s="163"/>
      <c r="R110" s="163"/>
      <c r="S110" s="163"/>
      <c r="T110" s="163"/>
      <c r="U110" s="163"/>
      <c r="V110" s="307"/>
      <c r="W110" s="163"/>
      <c r="X110" s="163"/>
      <c r="Y110" s="163"/>
      <c r="Z110" s="163"/>
      <c r="AA110" s="163"/>
      <c r="AB110" s="160"/>
      <c r="AC110" s="153"/>
      <c r="AD110" s="155"/>
      <c r="AE110" s="155"/>
      <c r="AF110" s="155"/>
      <c r="AG110" s="155"/>
      <c r="AH110" s="155"/>
    </row>
    <row r="111" spans="2:34" s="149" customFormat="1" x14ac:dyDescent="0.25">
      <c r="B111" s="166">
        <v>6</v>
      </c>
      <c r="C111" s="298" t="s">
        <v>84</v>
      </c>
      <c r="D111" s="299"/>
      <c r="E111" s="299"/>
      <c r="F111" s="299"/>
      <c r="G111" s="299"/>
      <c r="H111" s="300"/>
      <c r="I111" s="162"/>
      <c r="J111" s="320"/>
      <c r="K111" s="320"/>
      <c r="L111" s="320"/>
      <c r="M111" s="320"/>
      <c r="N111" s="320"/>
      <c r="O111" s="320"/>
      <c r="P111" s="163"/>
      <c r="Q111" s="163"/>
      <c r="R111" s="163"/>
      <c r="S111" s="163"/>
      <c r="T111" s="163"/>
      <c r="U111" s="163"/>
      <c r="V111" s="307"/>
      <c r="W111" s="163"/>
      <c r="X111" s="163"/>
      <c r="Y111" s="163"/>
      <c r="Z111" s="163"/>
      <c r="AA111" s="163"/>
      <c r="AB111" s="160"/>
      <c r="AC111" s="153"/>
      <c r="AD111" s="155"/>
      <c r="AE111" s="155"/>
      <c r="AF111" s="155"/>
      <c r="AG111" s="155"/>
      <c r="AH111" s="155"/>
    </row>
    <row r="112" spans="2:34" s="149" customFormat="1" x14ac:dyDescent="0.25">
      <c r="B112" s="166"/>
      <c r="C112" s="169">
        <f>IF(I110&lt;=H112,I110/U11,250)</f>
        <v>0</v>
      </c>
      <c r="D112" s="227" t="s">
        <v>70</v>
      </c>
      <c r="E112" s="228"/>
      <c r="F112" s="228"/>
      <c r="G112" s="229"/>
      <c r="H112" s="170">
        <f>U14</f>
        <v>1860596.925371805</v>
      </c>
      <c r="I112" s="171">
        <f>C112*ROUND(T62,2)</f>
        <v>0</v>
      </c>
      <c r="J112" s="320"/>
      <c r="K112" s="320"/>
      <c r="L112" s="320"/>
      <c r="M112" s="320"/>
      <c r="N112" s="320"/>
      <c r="O112" s="320"/>
      <c r="P112" s="163"/>
      <c r="Q112" s="163"/>
      <c r="R112" s="163"/>
      <c r="S112" s="163"/>
      <c r="T112" s="163"/>
      <c r="U112" s="163"/>
      <c r="V112" s="307"/>
      <c r="W112" s="163"/>
      <c r="X112" s="163"/>
      <c r="Y112" s="163"/>
      <c r="Z112" s="163"/>
      <c r="AA112" s="163"/>
      <c r="AB112" s="160"/>
      <c r="AC112" s="153"/>
      <c r="AD112" s="155"/>
      <c r="AE112" s="155"/>
      <c r="AF112" s="155"/>
      <c r="AG112" s="155"/>
      <c r="AH112" s="155"/>
    </row>
    <row r="113" spans="2:34" s="149" customFormat="1" x14ac:dyDescent="0.25">
      <c r="B113" s="166"/>
      <c r="C113" s="169">
        <f>IF(AND(I110&lt;=H113,I110&gt;G113),(I110-G113)/U11,IF(I110&gt;H113,1000,0))</f>
        <v>0</v>
      </c>
      <c r="D113" s="227" t="s">
        <v>69</v>
      </c>
      <c r="E113" s="228"/>
      <c r="F113" s="229"/>
      <c r="G113" s="172">
        <f>H112+1</f>
        <v>1860597.925371805</v>
      </c>
      <c r="H113" s="173">
        <f>U15</f>
        <v>9302984.6270000003</v>
      </c>
      <c r="I113" s="171">
        <f>ROUND(C113,0)*ROUND(T63,2)</f>
        <v>0</v>
      </c>
      <c r="J113" s="320"/>
      <c r="K113" s="320"/>
      <c r="L113" s="320"/>
      <c r="M113" s="320"/>
      <c r="N113" s="320"/>
      <c r="O113" s="320"/>
      <c r="P113" s="163"/>
      <c r="Q113" s="163"/>
      <c r="R113" s="163"/>
      <c r="S113" s="163"/>
      <c r="T113" s="163"/>
      <c r="U113" s="163"/>
      <c r="V113" s="307"/>
      <c r="W113" s="163"/>
      <c r="X113" s="163"/>
      <c r="Y113" s="163"/>
      <c r="Z113" s="163"/>
      <c r="AA113" s="163"/>
      <c r="AB113" s="160"/>
      <c r="AC113" s="153"/>
      <c r="AD113" s="155"/>
      <c r="AE113" s="155"/>
      <c r="AF113" s="155"/>
      <c r="AG113" s="155"/>
      <c r="AH113" s="155"/>
    </row>
    <row r="114" spans="2:34" s="149" customFormat="1" x14ac:dyDescent="0.25">
      <c r="B114" s="166"/>
      <c r="C114" s="169">
        <f>IF(AND(I110&lt;=H114,I110&gt;G114),(I110-G114)/U11,IF(I110&gt;H114,1750,0))</f>
        <v>0</v>
      </c>
      <c r="D114" s="227" t="s">
        <v>66</v>
      </c>
      <c r="E114" s="228"/>
      <c r="F114" s="229"/>
      <c r="G114" s="172">
        <f>H113+1</f>
        <v>9302985.6270000003</v>
      </c>
      <c r="H114" s="173">
        <f>U16</f>
        <v>22327163.103999998</v>
      </c>
      <c r="I114" s="171">
        <f>ROUND(C114,0)*ROUND(T64,2)</f>
        <v>0</v>
      </c>
      <c r="J114" s="320"/>
      <c r="K114" s="320"/>
      <c r="L114" s="320"/>
      <c r="M114" s="320"/>
      <c r="N114" s="320"/>
      <c r="O114" s="320"/>
      <c r="P114" s="163"/>
      <c r="Q114" s="163"/>
      <c r="R114" s="163"/>
      <c r="S114" s="163"/>
      <c r="T114" s="163"/>
      <c r="U114" s="163"/>
      <c r="V114" s="307"/>
      <c r="W114" s="163"/>
      <c r="X114" s="163"/>
      <c r="Y114" s="163"/>
      <c r="Z114" s="163"/>
      <c r="AA114" s="163"/>
      <c r="AB114" s="160"/>
      <c r="AC114" s="153"/>
      <c r="AD114" s="155"/>
      <c r="AE114" s="155"/>
      <c r="AF114" s="155"/>
      <c r="AG114" s="155"/>
      <c r="AH114" s="155"/>
    </row>
    <row r="115" spans="2:34" s="89" customFormat="1" x14ac:dyDescent="0.25">
      <c r="B115" s="166"/>
      <c r="C115" s="169">
        <f>IF(AND(I110&lt;=H115,I110&gt;G115),(I110-G115)/U11,IF(I110&gt;H115,2000,0))</f>
        <v>0</v>
      </c>
      <c r="D115" s="227" t="s">
        <v>66</v>
      </c>
      <c r="E115" s="228"/>
      <c r="F115" s="229"/>
      <c r="G115" s="172">
        <f>H114+1</f>
        <v>22327164.103999998</v>
      </c>
      <c r="H115" s="173">
        <f>U17</f>
        <v>37211938.506999999</v>
      </c>
      <c r="I115" s="171">
        <f>ROUND(C115,0)*ROUND(T65,2)</f>
        <v>0</v>
      </c>
      <c r="J115" s="320"/>
      <c r="K115" s="320"/>
      <c r="L115" s="320"/>
      <c r="M115" s="320"/>
      <c r="N115" s="320"/>
      <c r="O115" s="320"/>
      <c r="P115" s="163"/>
      <c r="Q115" s="163"/>
      <c r="R115" s="163"/>
      <c r="S115" s="163"/>
      <c r="T115" s="163"/>
      <c r="U115" s="163"/>
      <c r="V115" s="307"/>
      <c r="W115" s="163"/>
      <c r="X115" s="163"/>
      <c r="Y115" s="163"/>
      <c r="Z115" s="163"/>
      <c r="AA115" s="163"/>
      <c r="AB115" s="160"/>
      <c r="AC115" s="95"/>
      <c r="AD115" s="92"/>
      <c r="AE115" s="92"/>
      <c r="AF115" s="92"/>
      <c r="AG115" s="92"/>
      <c r="AH115" s="92"/>
    </row>
    <row r="116" spans="2:34" s="89" customFormat="1" ht="17.25" customHeight="1" x14ac:dyDescent="0.25">
      <c r="B116" s="166"/>
      <c r="C116" s="169">
        <f>IF(I110&gt;=H116,(I110-H116)/U11,0)</f>
        <v>0</v>
      </c>
      <c r="D116" s="292" t="s">
        <v>71</v>
      </c>
      <c r="E116" s="293"/>
      <c r="F116" s="293"/>
      <c r="G116" s="293"/>
      <c r="H116" s="173">
        <f>H115+1</f>
        <v>37211939.506999999</v>
      </c>
      <c r="I116" s="171">
        <f>ROUND(C116,0)*ROUND(T66,2)</f>
        <v>0</v>
      </c>
      <c r="J116" s="320"/>
      <c r="K116" s="320"/>
      <c r="L116" s="320"/>
      <c r="M116" s="320"/>
      <c r="N116" s="320"/>
      <c r="O116" s="320"/>
      <c r="P116" s="163"/>
      <c r="Q116" s="163"/>
      <c r="R116" s="163"/>
      <c r="S116" s="163"/>
      <c r="T116" s="163"/>
      <c r="U116" s="163"/>
      <c r="V116" s="307"/>
      <c r="W116" s="163"/>
      <c r="X116" s="163"/>
      <c r="Y116" s="163"/>
      <c r="Z116" s="163"/>
      <c r="AA116" s="163"/>
      <c r="AB116" s="160"/>
      <c r="AC116" s="95"/>
      <c r="AD116" s="92"/>
      <c r="AE116" s="92"/>
      <c r="AF116" s="92"/>
      <c r="AG116" s="92"/>
      <c r="AH116" s="92"/>
    </row>
    <row r="117" spans="2:34" ht="27.75" customHeight="1" thickBot="1" x14ac:dyDescent="0.3">
      <c r="B117" s="166"/>
      <c r="C117" s="174"/>
      <c r="D117" s="294" t="s">
        <v>20</v>
      </c>
      <c r="E117" s="294"/>
      <c r="F117" s="294"/>
      <c r="G117" s="294"/>
      <c r="H117" s="294"/>
      <c r="I117" s="175">
        <f>SUM(I112:I116)</f>
        <v>0</v>
      </c>
      <c r="J117" s="320"/>
      <c r="K117" s="320"/>
      <c r="L117" s="320"/>
      <c r="M117" s="320"/>
      <c r="N117" s="320"/>
      <c r="O117" s="320"/>
      <c r="S117" s="163"/>
      <c r="T117" s="163"/>
      <c r="U117" s="163"/>
      <c r="AD117" s="14"/>
      <c r="AE117" s="14"/>
      <c r="AF117" s="14"/>
      <c r="AG117" s="14"/>
      <c r="AH117" s="14"/>
    </row>
    <row r="118" spans="2:34" s="89" customFormat="1" ht="37.5" customHeight="1" x14ac:dyDescent="0.25">
      <c r="B118" s="156"/>
      <c r="C118" s="158"/>
      <c r="D118" s="159" t="s">
        <v>19</v>
      </c>
      <c r="E118" s="157"/>
      <c r="F118" s="157"/>
      <c r="G118" s="157"/>
      <c r="H118" s="157"/>
      <c r="I118" s="157"/>
      <c r="J118" s="320"/>
      <c r="K118" s="320"/>
      <c r="L118" s="320"/>
      <c r="M118" s="320"/>
      <c r="N118" s="320"/>
      <c r="O118" s="320"/>
      <c r="P118" s="163"/>
      <c r="Q118" s="163"/>
      <c r="R118" s="163"/>
      <c r="S118" s="163"/>
      <c r="T118" s="163"/>
      <c r="U118" s="163"/>
      <c r="V118" s="307"/>
      <c r="W118" s="163"/>
      <c r="X118" s="163"/>
      <c r="Y118" s="163"/>
      <c r="Z118" s="163"/>
      <c r="AA118" s="163"/>
      <c r="AB118" s="160"/>
      <c r="AC118" s="95"/>
      <c r="AD118" s="92"/>
      <c r="AE118" s="92"/>
      <c r="AF118" s="92"/>
      <c r="AG118" s="92"/>
      <c r="AH118" s="92"/>
    </row>
    <row r="119" spans="2:34" s="156" customFormat="1" ht="37.5" customHeight="1" thickBot="1" x14ac:dyDescent="0.3">
      <c r="C119" s="158"/>
      <c r="D119" s="159"/>
      <c r="E119" s="157"/>
      <c r="F119" s="157"/>
      <c r="G119" s="157"/>
      <c r="H119" s="157"/>
      <c r="I119" s="157"/>
      <c r="J119" s="320"/>
      <c r="K119" s="320"/>
      <c r="L119" s="320"/>
      <c r="M119" s="320"/>
      <c r="N119" s="320"/>
      <c r="O119" s="320"/>
      <c r="P119" s="163"/>
      <c r="Q119" s="163"/>
      <c r="R119" s="163"/>
      <c r="S119" s="163"/>
      <c r="T119" s="163"/>
      <c r="U119" s="163"/>
      <c r="V119" s="307"/>
      <c r="W119" s="163"/>
      <c r="X119" s="163"/>
      <c r="Y119" s="163"/>
      <c r="Z119" s="163"/>
      <c r="AA119" s="163"/>
      <c r="AB119" s="160"/>
      <c r="AC119" s="160"/>
      <c r="AD119" s="163"/>
      <c r="AE119" s="163"/>
      <c r="AF119" s="163"/>
      <c r="AG119" s="163"/>
      <c r="AH119" s="163"/>
    </row>
    <row r="120" spans="2:34" s="156" customFormat="1" ht="37.5" customHeight="1" thickBot="1" x14ac:dyDescent="0.3">
      <c r="C120" s="158"/>
      <c r="D120" s="159"/>
      <c r="E120" s="157"/>
      <c r="F120" s="157"/>
      <c r="G120" s="301" t="s">
        <v>80</v>
      </c>
      <c r="H120" s="302"/>
      <c r="I120" s="165">
        <f>SUM(I117,I107,I97,I87,I77,I66,I54,I48,I40,I35,I29)</f>
        <v>0</v>
      </c>
      <c r="J120" s="320"/>
      <c r="K120" s="320"/>
      <c r="L120" s="320"/>
      <c r="M120" s="320"/>
      <c r="N120" s="320"/>
      <c r="O120" s="320"/>
      <c r="P120" s="163"/>
      <c r="Q120" s="163"/>
      <c r="R120" s="163"/>
      <c r="S120" s="163"/>
      <c r="T120" s="163"/>
      <c r="U120" s="163"/>
      <c r="V120" s="307"/>
      <c r="W120" s="163"/>
      <c r="X120" s="163"/>
      <c r="Y120" s="163"/>
      <c r="Z120" s="163"/>
      <c r="AA120" s="163"/>
      <c r="AB120" s="160"/>
      <c r="AC120" s="160"/>
      <c r="AD120" s="163"/>
      <c r="AE120" s="163"/>
      <c r="AF120" s="163"/>
      <c r="AG120" s="163"/>
      <c r="AH120" s="163"/>
    </row>
    <row r="121" spans="2:34" s="156" customFormat="1" ht="37.5" customHeight="1" thickBot="1" x14ac:dyDescent="0.3">
      <c r="C121" s="158"/>
      <c r="D121" s="159"/>
      <c r="E121" s="157"/>
      <c r="F121" s="157"/>
      <c r="G121" s="157"/>
      <c r="H121" s="157"/>
      <c r="I121" s="157"/>
      <c r="J121" s="320"/>
      <c r="K121" s="320"/>
      <c r="L121" s="320"/>
      <c r="M121" s="320"/>
      <c r="N121" s="320"/>
      <c r="O121" s="320"/>
      <c r="P121" s="163"/>
      <c r="Q121" s="163"/>
      <c r="R121" s="163"/>
      <c r="S121" s="163"/>
      <c r="T121" s="163"/>
      <c r="U121" s="163"/>
      <c r="V121" s="307"/>
      <c r="W121" s="163"/>
      <c r="X121" s="163"/>
      <c r="Y121" s="163"/>
      <c r="Z121" s="163"/>
      <c r="AA121" s="163"/>
      <c r="AB121" s="160"/>
      <c r="AC121" s="160"/>
      <c r="AD121" s="163"/>
      <c r="AE121" s="163"/>
      <c r="AF121" s="163"/>
      <c r="AG121" s="163"/>
      <c r="AH121" s="163"/>
    </row>
    <row r="122" spans="2:34" s="89" customFormat="1" ht="37.5" customHeight="1" thickBot="1" x14ac:dyDescent="0.3">
      <c r="C122" s="213" t="s">
        <v>111</v>
      </c>
      <c r="D122" s="214"/>
      <c r="E122" s="214"/>
      <c r="F122" s="214"/>
      <c r="G122" s="214"/>
      <c r="H122" s="214"/>
      <c r="I122" s="215"/>
      <c r="J122" s="320"/>
      <c r="K122" s="320"/>
      <c r="L122" s="320"/>
      <c r="M122" s="320"/>
      <c r="N122" s="320"/>
      <c r="O122" s="320"/>
      <c r="P122" s="163"/>
      <c r="Q122" s="163"/>
      <c r="R122" s="163"/>
      <c r="S122" s="163"/>
      <c r="T122" s="163"/>
      <c r="U122" s="163"/>
      <c r="V122" s="307"/>
      <c r="W122" s="163"/>
      <c r="X122" s="163"/>
      <c r="Y122" s="163"/>
      <c r="Z122" s="163"/>
      <c r="AA122" s="163"/>
      <c r="AB122" s="160"/>
      <c r="AC122" s="95"/>
      <c r="AD122" s="92"/>
      <c r="AE122" s="92"/>
      <c r="AF122" s="92"/>
      <c r="AG122" s="92"/>
      <c r="AH122" s="92"/>
    </row>
    <row r="123" spans="2:34" s="20" customFormat="1" x14ac:dyDescent="0.25">
      <c r="C123" s="23"/>
      <c r="D123" s="27"/>
      <c r="E123" s="97"/>
      <c r="F123" s="97"/>
      <c r="G123" s="211"/>
      <c r="H123" s="212"/>
      <c r="I123" s="139">
        <f>IFERROR((IF(I120&lt;T86,T86,(I120))),"0")</f>
        <v>855</v>
      </c>
      <c r="J123" s="320"/>
      <c r="K123" s="320"/>
      <c r="L123" s="320"/>
      <c r="M123" s="320"/>
      <c r="N123" s="320"/>
      <c r="O123" s="320"/>
      <c r="P123" s="163"/>
      <c r="Q123" s="163"/>
      <c r="R123" s="163"/>
      <c r="S123" s="163"/>
      <c r="T123" s="163"/>
      <c r="U123" s="163"/>
      <c r="V123" s="307"/>
      <c r="W123" s="163"/>
      <c r="X123" s="163"/>
      <c r="Y123" s="163"/>
      <c r="Z123" s="163"/>
      <c r="AA123" s="163"/>
      <c r="AB123" s="160"/>
      <c r="AC123" s="26"/>
      <c r="AD123" s="25"/>
      <c r="AE123" s="25"/>
      <c r="AF123" s="25"/>
      <c r="AG123" s="25"/>
      <c r="AH123" s="25"/>
    </row>
    <row r="124" spans="2:34" s="20" customFormat="1" ht="15.75" customHeight="1" x14ac:dyDescent="0.25">
      <c r="C124" s="23"/>
      <c r="D124" s="1"/>
      <c r="E124" s="1"/>
      <c r="F124" s="1"/>
      <c r="G124" s="10"/>
      <c r="H124" s="7"/>
      <c r="I124" s="138">
        <f>(U86*$U$1)</f>
        <v>855</v>
      </c>
      <c r="J124" s="320"/>
      <c r="K124" s="320"/>
      <c r="L124" s="320"/>
      <c r="M124" s="320"/>
      <c r="N124" s="320"/>
      <c r="O124" s="320"/>
      <c r="P124" s="163"/>
      <c r="Q124" s="163"/>
      <c r="R124" s="163"/>
      <c r="S124" s="163"/>
      <c r="T124" s="163"/>
      <c r="U124" s="163"/>
      <c r="V124" s="307"/>
      <c r="W124" s="163"/>
      <c r="X124" s="163"/>
      <c r="Y124" s="163"/>
      <c r="Z124" s="163"/>
      <c r="AA124" s="330"/>
      <c r="AB124" s="148"/>
      <c r="AC124" s="80"/>
      <c r="AD124" s="38"/>
      <c r="AE124" s="38"/>
      <c r="AF124" s="38"/>
      <c r="AG124" s="25"/>
      <c r="AH124" s="25"/>
    </row>
    <row r="125" spans="2:34" s="89" customFormat="1" ht="1.5" customHeight="1" x14ac:dyDescent="0.25">
      <c r="C125" s="23"/>
      <c r="G125" s="10"/>
      <c r="H125" s="7"/>
      <c r="I125" s="141"/>
      <c r="J125" s="320"/>
      <c r="K125" s="320"/>
      <c r="L125" s="320"/>
      <c r="M125" s="320"/>
      <c r="N125" s="320"/>
      <c r="O125" s="320"/>
      <c r="P125" s="163"/>
      <c r="Q125" s="163"/>
      <c r="R125" s="163"/>
      <c r="S125" s="163"/>
      <c r="T125" s="163"/>
      <c r="U125" s="163"/>
      <c r="V125" s="307"/>
      <c r="W125" s="163"/>
      <c r="X125" s="163"/>
      <c r="Y125" s="163"/>
      <c r="Z125" s="163"/>
      <c r="AA125" s="330"/>
      <c r="AB125" s="148"/>
      <c r="AC125" s="80"/>
      <c r="AD125" s="96"/>
      <c r="AE125" s="96"/>
      <c r="AF125" s="96"/>
      <c r="AG125" s="92"/>
      <c r="AH125" s="92"/>
    </row>
    <row r="126" spans="2:34" s="89" customFormat="1" ht="15.75" customHeight="1" thickBot="1" x14ac:dyDescent="0.3">
      <c r="C126" s="23"/>
      <c r="G126" s="211"/>
      <c r="H126" s="212"/>
      <c r="I126" s="142"/>
      <c r="J126" s="320"/>
      <c r="K126" s="320"/>
      <c r="L126" s="320"/>
      <c r="M126" s="320"/>
      <c r="N126" s="320"/>
      <c r="O126" s="320"/>
      <c r="P126" s="163"/>
      <c r="Q126" s="163"/>
      <c r="R126" s="163"/>
      <c r="S126" s="163"/>
      <c r="T126" s="163"/>
      <c r="U126" s="163"/>
      <c r="V126" s="307"/>
      <c r="W126" s="163"/>
      <c r="X126" s="163"/>
      <c r="Y126" s="163"/>
      <c r="Z126" s="163"/>
      <c r="AA126" s="330"/>
      <c r="AB126" s="148"/>
      <c r="AC126" s="80"/>
      <c r="AD126" s="96"/>
      <c r="AE126" s="96"/>
      <c r="AF126" s="96"/>
      <c r="AG126" s="92"/>
      <c r="AH126" s="92"/>
    </row>
    <row r="127" spans="2:34" s="89" customFormat="1" ht="15.75" hidden="1" customHeight="1" thickBot="1" x14ac:dyDescent="0.3">
      <c r="C127" s="23"/>
      <c r="G127" s="10"/>
      <c r="H127" s="7"/>
      <c r="I127" s="91"/>
      <c r="J127" s="320"/>
      <c r="K127" s="320"/>
      <c r="L127" s="320"/>
      <c r="M127" s="320"/>
      <c r="N127" s="320"/>
      <c r="O127" s="320"/>
      <c r="P127" s="163"/>
      <c r="Q127" s="163"/>
      <c r="R127" s="163"/>
      <c r="S127" s="163"/>
      <c r="T127" s="163"/>
      <c r="U127" s="163"/>
      <c r="V127" s="307"/>
      <c r="W127" s="163"/>
      <c r="X127" s="163"/>
      <c r="Y127" s="163"/>
      <c r="Z127" s="163"/>
      <c r="AA127" s="330"/>
      <c r="AB127" s="148"/>
      <c r="AC127" s="80"/>
      <c r="AD127" s="96"/>
      <c r="AE127" s="96"/>
      <c r="AF127" s="96"/>
      <c r="AG127" s="92"/>
      <c r="AH127" s="92"/>
    </row>
    <row r="128" spans="2:34" s="89" customFormat="1" ht="35.25" customHeight="1" thickBot="1" x14ac:dyDescent="0.3">
      <c r="C128" s="23"/>
      <c r="G128" s="225" t="s">
        <v>87</v>
      </c>
      <c r="H128" s="226"/>
      <c r="I128" s="144">
        <f>IF((I120)=0,0,(I123))</f>
        <v>0</v>
      </c>
      <c r="J128" s="320"/>
      <c r="K128" s="320"/>
      <c r="L128" s="320"/>
      <c r="M128" s="320"/>
      <c r="N128" s="320"/>
      <c r="O128" s="320"/>
      <c r="P128" s="163"/>
      <c r="Q128" s="163"/>
      <c r="R128" s="163"/>
      <c r="S128" s="163"/>
      <c r="T128" s="163"/>
      <c r="U128" s="163"/>
      <c r="V128" s="307"/>
      <c r="W128" s="163"/>
      <c r="X128" s="163"/>
      <c r="Y128" s="163"/>
      <c r="Z128" s="163"/>
      <c r="AA128" s="330"/>
      <c r="AB128" s="148"/>
      <c r="AC128" s="80"/>
      <c r="AD128" s="96"/>
      <c r="AE128" s="96"/>
      <c r="AF128" s="96"/>
      <c r="AG128" s="92"/>
      <c r="AH128" s="92"/>
    </row>
    <row r="129" spans="2:34" s="89" customFormat="1" ht="15.75" customHeight="1" x14ac:dyDescent="0.25">
      <c r="C129" s="23"/>
      <c r="G129" s="10"/>
      <c r="H129" s="7"/>
      <c r="I129" s="91"/>
      <c r="J129" s="320"/>
      <c r="K129" s="320"/>
      <c r="L129" s="320"/>
      <c r="M129" s="320"/>
      <c r="N129" s="320"/>
      <c r="O129" s="320"/>
      <c r="P129" s="163"/>
      <c r="Q129" s="163"/>
      <c r="R129" s="163"/>
      <c r="S129" s="163"/>
      <c r="T129" s="163"/>
      <c r="U129" s="163"/>
      <c r="V129" s="307"/>
      <c r="W129" s="163"/>
      <c r="X129" s="163"/>
      <c r="Y129" s="163"/>
      <c r="Z129" s="163"/>
      <c r="AA129" s="330"/>
      <c r="AB129" s="148"/>
      <c r="AC129" s="80"/>
      <c r="AD129" s="96"/>
      <c r="AE129" s="96"/>
      <c r="AF129" s="96"/>
      <c r="AG129" s="92"/>
      <c r="AH129" s="92"/>
    </row>
    <row r="130" spans="2:34" s="20" customFormat="1" ht="25.5" customHeight="1" x14ac:dyDescent="0.3">
      <c r="C130" s="137" t="s">
        <v>25</v>
      </c>
      <c r="D130" s="1"/>
      <c r="E130" s="1"/>
      <c r="F130" s="1"/>
      <c r="G130" s="1"/>
      <c r="H130" s="1"/>
      <c r="I130" s="1"/>
      <c r="J130" s="320"/>
      <c r="K130" s="320"/>
      <c r="L130" s="320"/>
      <c r="M130" s="320"/>
      <c r="N130" s="320"/>
      <c r="O130" s="320"/>
      <c r="P130" s="163"/>
      <c r="Q130" s="163"/>
      <c r="R130" s="163"/>
      <c r="S130" s="163"/>
      <c r="T130" s="163"/>
      <c r="U130" s="163"/>
      <c r="V130" s="307"/>
      <c r="W130" s="163"/>
      <c r="X130" s="163"/>
      <c r="Y130" s="163"/>
      <c r="Z130" s="163"/>
      <c r="AA130" s="330"/>
      <c r="AB130" s="148"/>
      <c r="AC130" s="80"/>
      <c r="AD130" s="38"/>
      <c r="AE130" s="38"/>
      <c r="AF130" s="38"/>
      <c r="AG130" s="25"/>
      <c r="AH130" s="25"/>
    </row>
    <row r="131" spans="2:34" s="89" customFormat="1" ht="25.5" customHeight="1" thickBot="1" x14ac:dyDescent="0.35">
      <c r="C131" s="42"/>
      <c r="J131" s="320"/>
      <c r="K131" s="320"/>
      <c r="L131" s="320"/>
      <c r="M131" s="320"/>
      <c r="N131" s="320"/>
      <c r="O131" s="320"/>
      <c r="P131" s="163"/>
      <c r="Q131" s="163"/>
      <c r="R131" s="163"/>
      <c r="S131" s="163"/>
      <c r="T131" s="163"/>
      <c r="U131" s="163"/>
      <c r="V131" s="307"/>
      <c r="W131" s="163"/>
      <c r="X131" s="163"/>
      <c r="Y131" s="163"/>
      <c r="Z131" s="163"/>
      <c r="AA131" s="330"/>
      <c r="AB131" s="148"/>
      <c r="AC131" s="80"/>
      <c r="AD131" s="96"/>
      <c r="AE131" s="96"/>
      <c r="AF131" s="96"/>
      <c r="AG131" s="92"/>
      <c r="AH131" s="92"/>
    </row>
    <row r="132" spans="2:34" s="89" customFormat="1" ht="100.5" customHeight="1" thickBot="1" x14ac:dyDescent="0.35">
      <c r="C132" s="222" t="s">
        <v>110</v>
      </c>
      <c r="D132" s="223"/>
      <c r="E132" s="223"/>
      <c r="F132" s="223"/>
      <c r="G132" s="223"/>
      <c r="H132" s="223"/>
      <c r="I132" s="224"/>
      <c r="J132" s="320"/>
      <c r="K132" s="320"/>
      <c r="L132" s="320"/>
      <c r="M132" s="320"/>
      <c r="N132" s="320"/>
      <c r="O132" s="320"/>
      <c r="P132" s="163"/>
      <c r="Q132" s="163"/>
      <c r="R132" s="163"/>
      <c r="S132" s="163"/>
      <c r="T132" s="163"/>
      <c r="U132" s="163"/>
      <c r="V132" s="307"/>
      <c r="W132" s="163"/>
      <c r="X132" s="163"/>
      <c r="Y132" s="163"/>
      <c r="Z132" s="163"/>
      <c r="AA132" s="330"/>
      <c r="AB132" s="148"/>
      <c r="AC132" s="80"/>
      <c r="AD132" s="96"/>
      <c r="AE132" s="96"/>
      <c r="AF132" s="96"/>
      <c r="AG132" s="92"/>
      <c r="AH132" s="92"/>
    </row>
    <row r="133" spans="2:34" s="20" customFormat="1" ht="36" customHeight="1" thickBot="1" x14ac:dyDescent="0.3">
      <c r="C133" s="193" t="s">
        <v>28</v>
      </c>
      <c r="D133" s="194"/>
      <c r="E133" s="194"/>
      <c r="F133" s="194"/>
      <c r="G133" s="194"/>
      <c r="H133" s="194"/>
      <c r="I133" s="3"/>
      <c r="J133" s="320"/>
      <c r="K133" s="320"/>
      <c r="L133" s="320"/>
      <c r="M133" s="320"/>
      <c r="N133" s="320"/>
      <c r="O133" s="320"/>
      <c r="P133" s="163"/>
      <c r="Q133" s="163"/>
      <c r="R133" s="163"/>
      <c r="S133" s="307"/>
      <c r="T133" s="320"/>
      <c r="U133" s="307"/>
      <c r="V133" s="307" t="s">
        <v>95</v>
      </c>
      <c r="W133" s="163">
        <v>6312</v>
      </c>
      <c r="X133" s="163">
        <f>W133*X13</f>
        <v>7442.9772909430931</v>
      </c>
      <c r="Y133" s="163"/>
      <c r="Z133" s="163"/>
      <c r="AA133" s="330"/>
      <c r="AB133" s="148"/>
      <c r="AC133" s="80"/>
      <c r="AD133" s="38"/>
      <c r="AE133" s="38"/>
      <c r="AF133" s="38"/>
      <c r="AG133" s="25"/>
      <c r="AH133" s="25"/>
    </row>
    <row r="134" spans="2:34" s="20" customFormat="1" ht="39.75" customHeight="1" thickBot="1" x14ac:dyDescent="0.3">
      <c r="C134" s="48" t="s">
        <v>16</v>
      </c>
      <c r="D134" s="189" t="s">
        <v>10</v>
      </c>
      <c r="E134" s="203"/>
      <c r="F134" s="203"/>
      <c r="G134" s="203"/>
      <c r="H134" s="203"/>
      <c r="I134" s="204"/>
      <c r="J134" s="320"/>
      <c r="K134" s="320"/>
      <c r="L134" s="320"/>
      <c r="M134" s="320"/>
      <c r="N134" s="320"/>
      <c r="O134" s="320"/>
      <c r="P134" s="163"/>
      <c r="Q134" s="163"/>
      <c r="R134" s="163"/>
      <c r="S134" s="307"/>
      <c r="T134" s="320"/>
      <c r="U134" s="307"/>
      <c r="V134" s="307"/>
      <c r="W134" s="163"/>
      <c r="X134" s="163"/>
      <c r="Y134" s="163"/>
      <c r="Z134" s="163"/>
      <c r="AA134" s="163"/>
      <c r="AB134" s="160"/>
      <c r="AC134" s="26"/>
      <c r="AD134" s="25"/>
      <c r="AE134" s="25"/>
      <c r="AF134" s="25"/>
      <c r="AG134" s="25"/>
      <c r="AH134" s="25"/>
    </row>
    <row r="135" spans="2:34" ht="45" customHeight="1" x14ac:dyDescent="0.25">
      <c r="B135" s="20"/>
      <c r="C135" s="131"/>
      <c r="D135" s="282" t="s">
        <v>44</v>
      </c>
      <c r="E135" s="283"/>
      <c r="F135" s="283"/>
      <c r="G135" s="283"/>
      <c r="H135" s="284"/>
      <c r="I135" s="110"/>
      <c r="J135" s="320"/>
      <c r="K135" s="320"/>
      <c r="L135" s="320"/>
      <c r="M135" s="320"/>
      <c r="N135" s="320"/>
      <c r="O135" s="320"/>
      <c r="T135" s="320"/>
      <c r="AD135" s="14"/>
      <c r="AE135" s="14"/>
      <c r="AF135" s="14"/>
      <c r="AG135" s="14"/>
      <c r="AH135" s="14"/>
    </row>
    <row r="136" spans="2:34" s="20" customFormat="1" ht="18" customHeight="1" x14ac:dyDescent="0.25">
      <c r="C136" s="197" t="s">
        <v>11</v>
      </c>
      <c r="D136" s="198"/>
      <c r="E136" s="198"/>
      <c r="F136" s="198"/>
      <c r="G136" s="198"/>
      <c r="H136" s="199"/>
      <c r="I136" s="110"/>
      <c r="J136" s="320"/>
      <c r="K136" s="320" t="s">
        <v>97</v>
      </c>
      <c r="L136" s="320" t="s">
        <v>96</v>
      </c>
      <c r="M136" s="320"/>
      <c r="N136" s="320"/>
      <c r="O136" s="320"/>
      <c r="P136" s="163"/>
      <c r="Q136" s="163"/>
      <c r="R136" s="163"/>
      <c r="S136" s="307"/>
      <c r="T136" s="320">
        <f t="shared" ref="T136:T147" si="1">ROUND(U136*$U$1,2)</f>
        <v>299.7</v>
      </c>
      <c r="U136" s="328">
        <v>1665</v>
      </c>
      <c r="V136" s="307"/>
      <c r="W136" s="163"/>
      <c r="X136" s="163"/>
      <c r="Y136" s="163"/>
      <c r="Z136" s="163"/>
      <c r="AA136" s="163"/>
      <c r="AB136" s="160"/>
      <c r="AC136" s="26"/>
      <c r="AD136" s="25"/>
      <c r="AE136" s="25"/>
      <c r="AF136" s="25"/>
      <c r="AG136" s="25"/>
      <c r="AH136" s="25"/>
    </row>
    <row r="137" spans="2:34" s="20" customFormat="1" ht="25.5" customHeight="1" x14ac:dyDescent="0.25">
      <c r="C137" s="70"/>
      <c r="D137" s="305" t="s">
        <v>105</v>
      </c>
      <c r="E137" s="305"/>
      <c r="F137" s="305"/>
      <c r="G137" s="305"/>
      <c r="H137" s="305"/>
      <c r="I137" s="34" t="str">
        <f>IF(C137="x", T136,"")</f>
        <v/>
      </c>
      <c r="J137" s="320"/>
      <c r="K137" s="320">
        <v>18935</v>
      </c>
      <c r="L137" s="320">
        <f>K137*X4</f>
        <v>22327.752693917533</v>
      </c>
      <c r="M137" s="320"/>
      <c r="N137" s="320"/>
      <c r="O137" s="320"/>
      <c r="P137" s="163"/>
      <c r="Q137" s="163"/>
      <c r="R137" s="163"/>
      <c r="S137" s="307"/>
      <c r="T137" s="320">
        <f t="shared" si="1"/>
        <v>389.34</v>
      </c>
      <c r="U137" s="328">
        <v>2163</v>
      </c>
      <c r="V137" s="307"/>
      <c r="W137" s="163"/>
      <c r="X137" s="163"/>
      <c r="Y137" s="163"/>
      <c r="Z137" s="163"/>
      <c r="AA137" s="163"/>
      <c r="AB137" s="160"/>
      <c r="AC137" s="26"/>
      <c r="AD137" s="25"/>
      <c r="AE137" s="25"/>
      <c r="AF137" s="25"/>
      <c r="AG137" s="25"/>
      <c r="AH137" s="25"/>
    </row>
    <row r="138" spans="2:34" s="20" customFormat="1" ht="15.75" customHeight="1" x14ac:dyDescent="0.25">
      <c r="C138" s="70"/>
      <c r="D138" s="305" t="s">
        <v>106</v>
      </c>
      <c r="E138" s="305"/>
      <c r="F138" s="305"/>
      <c r="G138" s="305"/>
      <c r="H138" s="305"/>
      <c r="I138" s="34" t="str">
        <f>IF(C138="x", T137,"")</f>
        <v/>
      </c>
      <c r="J138" s="320"/>
      <c r="K138" s="320">
        <v>75738</v>
      </c>
      <c r="L138" s="320">
        <f>K138*X4</f>
        <v>89308.652417846635</v>
      </c>
      <c r="M138" s="320"/>
      <c r="N138" s="320"/>
      <c r="O138" s="320"/>
      <c r="P138" s="163"/>
      <c r="Q138" s="163"/>
      <c r="R138" s="163"/>
      <c r="S138" s="307"/>
      <c r="T138" s="320">
        <f t="shared" si="1"/>
        <v>497.52</v>
      </c>
      <c r="U138" s="328">
        <v>2764</v>
      </c>
      <c r="V138" s="307"/>
      <c r="W138" s="163"/>
      <c r="X138" s="163"/>
      <c r="Y138" s="163"/>
      <c r="Z138" s="163"/>
      <c r="AA138" s="163"/>
      <c r="AB138" s="160"/>
      <c r="AC138" s="26"/>
      <c r="AD138" s="25"/>
      <c r="AE138" s="25"/>
      <c r="AF138" s="25"/>
      <c r="AG138" s="25"/>
      <c r="AH138" s="25"/>
    </row>
    <row r="139" spans="2:34" ht="20.25" customHeight="1" x14ac:dyDescent="0.25">
      <c r="B139" s="20"/>
      <c r="C139" s="70"/>
      <c r="D139" s="305" t="s">
        <v>107</v>
      </c>
      <c r="E139" s="305"/>
      <c r="F139" s="305"/>
      <c r="G139" s="305"/>
      <c r="H139" s="305"/>
      <c r="I139" s="34" t="str">
        <f>IF(C139="x", T138,"")</f>
        <v/>
      </c>
      <c r="J139" s="326"/>
      <c r="K139" s="326"/>
      <c r="L139" s="326"/>
      <c r="M139" s="326"/>
      <c r="N139" s="326"/>
      <c r="O139" s="326"/>
      <c r="T139" s="320"/>
      <c r="U139" s="328"/>
      <c r="AD139" s="14"/>
      <c r="AE139" s="14"/>
      <c r="AF139" s="14"/>
      <c r="AG139" s="14"/>
      <c r="AH139" s="14"/>
    </row>
    <row r="140" spans="2:34" ht="16.5" customHeight="1" x14ac:dyDescent="0.25">
      <c r="B140" s="20"/>
      <c r="C140" s="70"/>
      <c r="D140" s="305" t="s">
        <v>108</v>
      </c>
      <c r="E140" s="305"/>
      <c r="F140" s="305"/>
      <c r="G140" s="305"/>
      <c r="H140" s="305"/>
      <c r="I140" s="34" t="str">
        <f>IF(C140="x", T140,"")</f>
        <v/>
      </c>
      <c r="J140" s="320"/>
      <c r="K140" s="320">
        <v>126230</v>
      </c>
      <c r="L140" s="320">
        <f>K140*X4</f>
        <v>148847.75402974439</v>
      </c>
      <c r="M140" s="320"/>
      <c r="N140" s="320"/>
      <c r="O140" s="320"/>
      <c r="T140" s="320">
        <f t="shared" si="1"/>
        <v>605.52</v>
      </c>
      <c r="U140" s="328">
        <v>3364</v>
      </c>
      <c r="AD140" s="14"/>
      <c r="AE140" s="14"/>
      <c r="AF140" s="14"/>
      <c r="AG140" s="14"/>
      <c r="AH140" s="14"/>
    </row>
    <row r="141" spans="2:34" s="89" customFormat="1" ht="16.5" customHeight="1" thickBot="1" x14ac:dyDescent="0.3">
      <c r="C141" s="109"/>
      <c r="D141" s="111"/>
      <c r="E141" s="112"/>
      <c r="F141" s="112"/>
      <c r="G141" s="112"/>
      <c r="H141" s="113"/>
      <c r="I141" s="110"/>
      <c r="J141" s="320"/>
      <c r="K141" s="320"/>
      <c r="L141" s="320"/>
      <c r="M141" s="320"/>
      <c r="N141" s="320"/>
      <c r="O141" s="320"/>
      <c r="P141" s="163"/>
      <c r="Q141" s="163"/>
      <c r="R141" s="163"/>
      <c r="S141" s="307"/>
      <c r="T141" s="320"/>
      <c r="U141" s="328"/>
      <c r="V141" s="307"/>
      <c r="W141" s="163"/>
      <c r="X141" s="163"/>
      <c r="Y141" s="163"/>
      <c r="Z141" s="163"/>
      <c r="AA141" s="163"/>
      <c r="AB141" s="160"/>
      <c r="AC141" s="95"/>
      <c r="AD141" s="92"/>
      <c r="AE141" s="92"/>
      <c r="AF141" s="92"/>
      <c r="AG141" s="92"/>
      <c r="AH141" s="92"/>
    </row>
    <row r="142" spans="2:34" s="20" customFormat="1" ht="39.75" customHeight="1" thickBot="1" x14ac:dyDescent="0.3">
      <c r="C142" s="130"/>
      <c r="D142" s="282" t="s">
        <v>43</v>
      </c>
      <c r="E142" s="283"/>
      <c r="F142" s="283"/>
      <c r="G142" s="283"/>
      <c r="H142" s="284"/>
      <c r="I142" s="132"/>
      <c r="J142" s="307"/>
      <c r="K142" s="307"/>
      <c r="L142" s="307"/>
      <c r="M142" s="307"/>
      <c r="N142" s="307"/>
      <c r="O142" s="307"/>
      <c r="P142" s="163"/>
      <c r="Q142" s="163"/>
      <c r="R142" s="163"/>
      <c r="S142" s="307"/>
      <c r="T142" s="320"/>
      <c r="U142" s="328"/>
      <c r="V142" s="307"/>
      <c r="W142" s="163"/>
      <c r="X142" s="163"/>
      <c r="Y142" s="163"/>
      <c r="Z142" s="163"/>
      <c r="AA142" s="163"/>
      <c r="AB142" s="160"/>
      <c r="AC142" s="26"/>
      <c r="AD142" s="25"/>
      <c r="AE142" s="25"/>
      <c r="AF142" s="25"/>
      <c r="AG142" s="25"/>
      <c r="AH142" s="25"/>
    </row>
    <row r="143" spans="2:34" s="20" customFormat="1" ht="16.5" customHeight="1" x14ac:dyDescent="0.25">
      <c r="C143" s="200" t="s">
        <v>11</v>
      </c>
      <c r="D143" s="201"/>
      <c r="E143" s="201"/>
      <c r="F143" s="201"/>
      <c r="G143" s="201"/>
      <c r="H143" s="202"/>
      <c r="I143" s="123"/>
      <c r="J143" s="309"/>
      <c r="K143" s="309"/>
      <c r="L143" s="307"/>
      <c r="M143" s="320"/>
      <c r="N143" s="307"/>
      <c r="O143" s="307"/>
      <c r="P143" s="163"/>
      <c r="Q143" s="163"/>
      <c r="R143" s="163"/>
      <c r="S143" s="307"/>
      <c r="T143" s="320"/>
      <c r="U143" s="328"/>
      <c r="V143" s="307"/>
      <c r="W143" s="163"/>
      <c r="X143" s="163"/>
      <c r="Y143" s="163"/>
      <c r="Z143" s="163"/>
      <c r="AA143" s="163"/>
      <c r="AB143" s="160"/>
      <c r="AC143" s="26"/>
      <c r="AD143" s="25"/>
      <c r="AE143" s="25"/>
      <c r="AF143" s="25"/>
      <c r="AG143" s="25"/>
      <c r="AH143" s="25"/>
    </row>
    <row r="144" spans="2:34" s="20" customFormat="1" x14ac:dyDescent="0.25">
      <c r="C144" s="70"/>
      <c r="D144" s="305" t="s">
        <v>105</v>
      </c>
      <c r="E144" s="305"/>
      <c r="F144" s="305"/>
      <c r="G144" s="305"/>
      <c r="H144" s="305"/>
      <c r="I144" s="34" t="str">
        <f>IF(C144="x", T144,"")</f>
        <v/>
      </c>
      <c r="J144" s="309"/>
      <c r="K144" s="309"/>
      <c r="L144" s="307"/>
      <c r="M144" s="320"/>
      <c r="N144" s="307"/>
      <c r="O144" s="307"/>
      <c r="P144" s="163"/>
      <c r="Q144" s="163"/>
      <c r="R144" s="163"/>
      <c r="S144" s="307"/>
      <c r="T144" s="320">
        <f t="shared" si="1"/>
        <v>360</v>
      </c>
      <c r="U144" s="328">
        <v>2000</v>
      </c>
      <c r="V144" s="307"/>
      <c r="W144" s="163"/>
      <c r="X144" s="163"/>
      <c r="Y144" s="163"/>
      <c r="Z144" s="163"/>
      <c r="AA144" s="163"/>
      <c r="AB144" s="160"/>
    </row>
    <row r="145" spans="2:34" s="20" customFormat="1" ht="15.75" customHeight="1" x14ac:dyDescent="0.25">
      <c r="B145" s="1"/>
      <c r="C145" s="70"/>
      <c r="D145" s="305" t="s">
        <v>106</v>
      </c>
      <c r="E145" s="305"/>
      <c r="F145" s="305"/>
      <c r="G145" s="305"/>
      <c r="H145" s="305"/>
      <c r="I145" s="34" t="str">
        <f>IF(C145="x", T145,"")</f>
        <v/>
      </c>
      <c r="J145" s="309"/>
      <c r="K145" s="309"/>
      <c r="L145" s="307"/>
      <c r="M145" s="320"/>
      <c r="N145" s="307"/>
      <c r="O145" s="307"/>
      <c r="P145" s="163"/>
      <c r="Q145" s="163"/>
      <c r="R145" s="163"/>
      <c r="S145" s="307"/>
      <c r="T145" s="320">
        <f t="shared" si="1"/>
        <v>466.56</v>
      </c>
      <c r="U145" s="328">
        <v>2592</v>
      </c>
      <c r="V145" s="307"/>
      <c r="W145" s="163"/>
      <c r="X145" s="163"/>
      <c r="Y145" s="163"/>
      <c r="Z145" s="163"/>
      <c r="AA145" s="163"/>
      <c r="AB145" s="160"/>
    </row>
    <row r="146" spans="2:34" s="20" customFormat="1" ht="15.75" customHeight="1" x14ac:dyDescent="0.25">
      <c r="B146" s="1"/>
      <c r="C146" s="70"/>
      <c r="D146" s="305" t="s">
        <v>107</v>
      </c>
      <c r="E146" s="305"/>
      <c r="F146" s="305"/>
      <c r="G146" s="305"/>
      <c r="H146" s="305"/>
      <c r="I146" s="34" t="str">
        <f>IF(C146="x", T146,"")</f>
        <v/>
      </c>
      <c r="J146" s="331"/>
      <c r="K146" s="331"/>
      <c r="L146" s="331"/>
      <c r="M146" s="331"/>
      <c r="N146" s="331"/>
      <c r="O146" s="331"/>
      <c r="P146" s="163"/>
      <c r="Q146" s="163"/>
      <c r="R146" s="163"/>
      <c r="S146" s="307"/>
      <c r="T146" s="320">
        <f t="shared" si="1"/>
        <v>596.34</v>
      </c>
      <c r="U146" s="328">
        <v>3313</v>
      </c>
      <c r="V146" s="307"/>
      <c r="W146" s="163"/>
      <c r="X146" s="163"/>
      <c r="Y146" s="163"/>
      <c r="Z146" s="163"/>
      <c r="AA146" s="163"/>
      <c r="AB146" s="160"/>
    </row>
    <row r="147" spans="2:34" s="20" customFormat="1" ht="15.75" customHeight="1" thickBot="1" x14ac:dyDescent="0.3">
      <c r="B147" s="1"/>
      <c r="C147" s="71"/>
      <c r="D147" s="305" t="s">
        <v>108</v>
      </c>
      <c r="E147" s="305"/>
      <c r="F147" s="305"/>
      <c r="G147" s="305"/>
      <c r="H147" s="305"/>
      <c r="I147" s="35" t="str">
        <f>IF(C147="x", T147,"")</f>
        <v/>
      </c>
      <c r="J147" s="320"/>
      <c r="K147" s="320"/>
      <c r="L147" s="320"/>
      <c r="M147" s="320"/>
      <c r="N147" s="320"/>
      <c r="O147" s="320"/>
      <c r="P147" s="163"/>
      <c r="Q147" s="163"/>
      <c r="R147" s="163"/>
      <c r="S147" s="307"/>
      <c r="T147" s="320">
        <f t="shared" si="1"/>
        <v>726.12</v>
      </c>
      <c r="U147" s="328">
        <v>4034</v>
      </c>
      <c r="V147" s="307"/>
      <c r="W147" s="163"/>
      <c r="X147" s="163"/>
      <c r="Y147" s="163"/>
      <c r="Z147" s="163"/>
      <c r="AA147" s="163"/>
      <c r="AB147" s="160"/>
      <c r="AC147" s="26"/>
      <c r="AD147" s="25"/>
      <c r="AE147" s="25"/>
      <c r="AF147" s="25"/>
      <c r="AG147" s="25"/>
      <c r="AH147" s="25"/>
    </row>
    <row r="148" spans="2:34" ht="16.5" customHeight="1" thickBot="1" x14ac:dyDescent="0.3">
      <c r="B148" s="20"/>
      <c r="C148" s="216" t="s">
        <v>20</v>
      </c>
      <c r="D148" s="217"/>
      <c r="E148" s="217"/>
      <c r="F148" s="217"/>
      <c r="G148" s="217"/>
      <c r="H148" s="218"/>
      <c r="I148" s="65" t="e">
        <f>VLOOKUP("x",C135:I147,7,0)</f>
        <v>#N/A</v>
      </c>
      <c r="J148" s="320"/>
      <c r="K148" s="320"/>
      <c r="L148" s="320"/>
      <c r="M148" s="320"/>
      <c r="N148" s="320"/>
      <c r="O148" s="320"/>
      <c r="T148" s="320"/>
      <c r="U148" s="328"/>
      <c r="AD148" s="14"/>
      <c r="AE148" s="14"/>
      <c r="AF148" s="14"/>
      <c r="AG148" s="14"/>
      <c r="AH148" s="14"/>
    </row>
    <row r="149" spans="2:34" ht="62.25" customHeight="1" thickBot="1" x14ac:dyDescent="0.3">
      <c r="B149" s="20"/>
      <c r="C149" s="189" t="s">
        <v>109</v>
      </c>
      <c r="D149" s="190"/>
      <c r="E149" s="190"/>
      <c r="F149" s="190"/>
      <c r="G149" s="190"/>
      <c r="H149" s="190"/>
      <c r="I149" s="29"/>
      <c r="J149" s="332"/>
      <c r="K149" s="332"/>
      <c r="L149" s="332"/>
      <c r="M149" s="332"/>
      <c r="N149" s="332"/>
      <c r="O149" s="332"/>
      <c r="T149" s="320"/>
      <c r="U149" s="328"/>
      <c r="AD149" s="14"/>
      <c r="AE149" s="14"/>
      <c r="AF149" s="14"/>
      <c r="AG149" s="14"/>
      <c r="AH149" s="14"/>
    </row>
    <row r="150" spans="2:34" x14ac:dyDescent="0.25">
      <c r="C150" s="186" t="s">
        <v>29</v>
      </c>
      <c r="D150" s="187"/>
      <c r="E150" s="187"/>
      <c r="F150" s="187"/>
      <c r="G150" s="187"/>
      <c r="H150" s="188"/>
      <c r="I150" s="36"/>
      <c r="J150" s="307"/>
      <c r="K150" s="307"/>
      <c r="L150" s="307"/>
      <c r="M150" s="307"/>
      <c r="N150" s="307"/>
      <c r="O150" s="307"/>
      <c r="T150" s="320"/>
      <c r="U150" s="328"/>
      <c r="AD150" s="14"/>
      <c r="AE150" s="14"/>
      <c r="AF150" s="14"/>
      <c r="AG150" s="14"/>
      <c r="AH150" s="14"/>
    </row>
    <row r="151" spans="2:34" s="20" customFormat="1" ht="16.5" thickBot="1" x14ac:dyDescent="0.3">
      <c r="C151" s="72"/>
      <c r="D151" s="256"/>
      <c r="E151" s="257"/>
      <c r="F151" s="257"/>
      <c r="G151" s="257"/>
      <c r="H151" s="258"/>
      <c r="I151" s="37" t="str">
        <f>IF(C151="x", T152,"0")</f>
        <v>0</v>
      </c>
      <c r="J151" s="307"/>
      <c r="K151" s="307"/>
      <c r="L151" s="307"/>
      <c r="M151" s="307"/>
      <c r="N151" s="307"/>
      <c r="O151" s="307"/>
      <c r="P151" s="163"/>
      <c r="Q151" s="163"/>
      <c r="R151" s="163"/>
      <c r="S151" s="307"/>
      <c r="T151" s="320"/>
      <c r="U151" s="328"/>
      <c r="V151" s="307"/>
      <c r="W151" s="163"/>
      <c r="X151" s="163"/>
      <c r="Y151" s="163"/>
      <c r="Z151" s="163"/>
      <c r="AA151" s="163"/>
      <c r="AB151" s="160"/>
      <c r="AC151" s="26"/>
      <c r="AD151" s="25"/>
      <c r="AE151" s="25"/>
      <c r="AF151" s="25"/>
      <c r="AG151" s="25"/>
      <c r="AH151" s="25"/>
    </row>
    <row r="152" spans="2:34" s="20" customFormat="1" ht="16.5" thickBot="1" x14ac:dyDescent="0.3">
      <c r="C152" s="216" t="s">
        <v>20</v>
      </c>
      <c r="D152" s="217"/>
      <c r="E152" s="217"/>
      <c r="F152" s="217"/>
      <c r="G152" s="217"/>
      <c r="H152" s="218"/>
      <c r="I152" s="29" t="e">
        <f>SUM(I148-I151)</f>
        <v>#N/A</v>
      </c>
      <c r="J152" s="309"/>
      <c r="K152" s="309"/>
      <c r="L152" s="309"/>
      <c r="M152" s="309"/>
      <c r="N152" s="309"/>
      <c r="O152" s="309"/>
      <c r="P152" s="163"/>
      <c r="Q152" s="163"/>
      <c r="R152" s="163"/>
      <c r="S152" s="307"/>
      <c r="T152" s="320">
        <f>ROUND(U152*$U$1,2)</f>
        <v>84.96</v>
      </c>
      <c r="U152" s="328">
        <v>472</v>
      </c>
      <c r="V152" s="307"/>
      <c r="W152" s="163"/>
      <c r="X152" s="163"/>
      <c r="Y152" s="163"/>
      <c r="Z152" s="163"/>
      <c r="AA152" s="163"/>
      <c r="AB152" s="160"/>
      <c r="AC152" s="26"/>
      <c r="AD152" s="25"/>
      <c r="AE152" s="25"/>
      <c r="AF152" s="25"/>
      <c r="AG152" s="25"/>
      <c r="AH152" s="25"/>
    </row>
    <row r="153" spans="2:34" ht="120.75" thickBot="1" x14ac:dyDescent="0.3">
      <c r="C153" s="59" t="s">
        <v>45</v>
      </c>
      <c r="D153" s="191" t="s">
        <v>9</v>
      </c>
      <c r="E153" s="192"/>
      <c r="F153" s="192"/>
      <c r="G153" s="192"/>
      <c r="H153" s="192"/>
      <c r="I153" s="29"/>
      <c r="J153" s="333"/>
      <c r="K153" s="333"/>
      <c r="L153" s="333"/>
      <c r="M153" s="333"/>
      <c r="N153" s="333"/>
      <c r="O153" s="333"/>
      <c r="T153" s="320"/>
      <c r="U153" s="328"/>
      <c r="AD153" s="14"/>
      <c r="AE153" s="14"/>
      <c r="AF153" s="14"/>
      <c r="AG153" s="14"/>
      <c r="AH153" s="14"/>
    </row>
    <row r="154" spans="2:34" x14ac:dyDescent="0.25">
      <c r="B154"/>
      <c r="C154" s="82"/>
      <c r="D154" s="83"/>
      <c r="E154" s="84"/>
      <c r="F154" s="84"/>
      <c r="G154" s="84"/>
      <c r="H154" s="84"/>
      <c r="I154" s="36"/>
      <c r="J154" s="334"/>
      <c r="K154" s="334"/>
      <c r="L154" s="334"/>
      <c r="M154" s="334"/>
      <c r="N154" s="334"/>
      <c r="O154" s="334"/>
      <c r="T154" s="320"/>
      <c r="U154" s="328"/>
      <c r="AD154" s="14"/>
      <c r="AE154" s="14"/>
      <c r="AF154" s="14"/>
      <c r="AG154" s="14"/>
      <c r="AH154" s="14"/>
    </row>
    <row r="155" spans="2:34" ht="16.5" thickBot="1" x14ac:dyDescent="0.3">
      <c r="B155" s="19"/>
      <c r="C155" s="82"/>
      <c r="D155" s="83"/>
      <c r="E155" s="84"/>
      <c r="F155" s="84"/>
      <c r="G155" s="84"/>
      <c r="H155" s="84"/>
      <c r="I155" s="36"/>
      <c r="J155" s="335"/>
      <c r="K155" s="335"/>
      <c r="L155" s="335"/>
      <c r="M155" s="335"/>
      <c r="N155" s="335"/>
      <c r="O155" s="335"/>
      <c r="T155" s="320"/>
      <c r="U155" s="328"/>
      <c r="AD155" s="14"/>
      <c r="AE155" s="14"/>
      <c r="AF155" s="14"/>
      <c r="AG155" s="14"/>
      <c r="AH155" s="14"/>
    </row>
    <row r="156" spans="2:34" ht="16.5" thickBot="1" x14ac:dyDescent="0.3">
      <c r="C156" s="82"/>
      <c r="D156" s="219" t="s">
        <v>53</v>
      </c>
      <c r="E156" s="220"/>
      <c r="F156" s="220"/>
      <c r="G156" s="220"/>
      <c r="H156" s="221"/>
      <c r="I156" s="36"/>
      <c r="J156" s="320"/>
      <c r="K156" s="320"/>
      <c r="L156" s="320"/>
      <c r="M156" s="320"/>
      <c r="N156" s="320"/>
      <c r="O156" s="320"/>
      <c r="T156" s="320"/>
      <c r="U156" s="328"/>
      <c r="AD156" s="14"/>
      <c r="AE156" s="14"/>
      <c r="AF156" s="14"/>
      <c r="AG156" s="14"/>
      <c r="AH156" s="14"/>
    </row>
    <row r="157" spans="2:34" ht="16.5" thickBot="1" x14ac:dyDescent="0.3">
      <c r="C157" s="253" t="s">
        <v>76</v>
      </c>
      <c r="D157" s="254"/>
      <c r="E157" s="254"/>
      <c r="F157" s="254"/>
      <c r="G157" s="254"/>
      <c r="H157" s="255"/>
      <c r="I157" s="36"/>
      <c r="J157" s="320"/>
      <c r="K157" s="320"/>
      <c r="L157" s="320"/>
      <c r="M157" s="320"/>
      <c r="N157" s="320"/>
      <c r="O157" s="320"/>
      <c r="T157" s="320"/>
      <c r="U157" s="328"/>
      <c r="AD157" s="14"/>
      <c r="AE157" s="14"/>
      <c r="AF157" s="14"/>
      <c r="AG157" s="14"/>
      <c r="AH157" s="14"/>
    </row>
    <row r="158" spans="2:34" s="20" customFormat="1" ht="16.5" thickBot="1" x14ac:dyDescent="0.3">
      <c r="B158" s="1"/>
      <c r="C158" s="73"/>
      <c r="D158" s="208"/>
      <c r="E158" s="209"/>
      <c r="F158" s="209"/>
      <c r="G158" s="209"/>
      <c r="H158" s="209"/>
      <c r="I158" s="34">
        <f>S158</f>
        <v>0</v>
      </c>
      <c r="J158" s="320"/>
      <c r="K158" s="320"/>
      <c r="L158" s="320"/>
      <c r="M158" s="320"/>
      <c r="N158" s="320"/>
      <c r="O158" s="320"/>
      <c r="P158" s="163"/>
      <c r="Q158" s="163"/>
      <c r="R158" s="163"/>
      <c r="S158" s="307">
        <f>C158*T158</f>
        <v>0</v>
      </c>
      <c r="T158" s="320">
        <f>ROUND(U158*$U$1,2)</f>
        <v>216</v>
      </c>
      <c r="U158" s="328">
        <v>1200</v>
      </c>
      <c r="V158" s="307"/>
      <c r="W158" s="163"/>
      <c r="X158" s="163"/>
      <c r="Y158" s="163"/>
      <c r="Z158" s="163"/>
      <c r="AA158" s="163"/>
      <c r="AB158" s="160"/>
      <c r="AC158" s="26"/>
      <c r="AD158" s="25"/>
      <c r="AE158" s="25"/>
      <c r="AF158" s="25"/>
      <c r="AG158" s="25"/>
      <c r="AH158" s="25"/>
    </row>
    <row r="159" spans="2:34" s="19" customFormat="1" ht="49.5" customHeight="1" thickBot="1" x14ac:dyDescent="0.3">
      <c r="B159" s="1"/>
      <c r="C159" s="242" t="s">
        <v>20</v>
      </c>
      <c r="D159" s="243"/>
      <c r="E159" s="243"/>
      <c r="F159" s="243"/>
      <c r="G159" s="243"/>
      <c r="H159" s="204"/>
      <c r="I159" s="65">
        <f>SUM(I158:I158)</f>
        <v>0</v>
      </c>
      <c r="J159" s="320"/>
      <c r="K159" s="320"/>
      <c r="L159" s="320"/>
      <c r="M159" s="320"/>
      <c r="N159" s="320"/>
      <c r="O159" s="320"/>
      <c r="P159" s="163"/>
      <c r="Q159" s="163"/>
      <c r="R159" s="163"/>
      <c r="S159" s="307"/>
      <c r="T159" s="320"/>
      <c r="U159" s="328"/>
      <c r="V159" s="307"/>
      <c r="W159" s="163"/>
      <c r="X159" s="163"/>
      <c r="Y159" s="163"/>
      <c r="Z159" s="13"/>
      <c r="AA159" s="13"/>
      <c r="AB159" s="18"/>
      <c r="AC159" s="18"/>
      <c r="AD159" s="13"/>
      <c r="AE159" s="13"/>
      <c r="AF159" s="13"/>
      <c r="AG159" s="13"/>
      <c r="AH159" s="13"/>
    </row>
    <row r="160" spans="2:34" s="19" customFormat="1" ht="29.25" customHeight="1" x14ac:dyDescent="0.25">
      <c r="B160" s="89"/>
      <c r="C160" s="52"/>
      <c r="D160" s="53"/>
      <c r="E160" s="53"/>
      <c r="F160" s="53"/>
      <c r="G160" s="53"/>
      <c r="H160" s="53"/>
      <c r="I160" s="91"/>
      <c r="J160" s="320"/>
      <c r="K160" s="320"/>
      <c r="L160" s="320"/>
      <c r="M160" s="320"/>
      <c r="N160" s="320"/>
      <c r="O160" s="320"/>
      <c r="P160" s="163"/>
      <c r="Q160" s="163"/>
      <c r="R160" s="163"/>
      <c r="S160" s="307"/>
      <c r="T160" s="320"/>
      <c r="U160" s="328"/>
      <c r="V160" s="307"/>
      <c r="W160" s="163"/>
      <c r="X160" s="163"/>
      <c r="Y160" s="163"/>
      <c r="Z160" s="13"/>
      <c r="AA160" s="13"/>
      <c r="AB160" s="18"/>
      <c r="AC160" s="18"/>
      <c r="AD160" s="13"/>
      <c r="AE160" s="13"/>
      <c r="AF160" s="13"/>
      <c r="AG160" s="13"/>
      <c r="AH160" s="13"/>
    </row>
    <row r="161" spans="1:34" ht="22.5" customHeight="1" thickBot="1" x14ac:dyDescent="0.3">
      <c r="B161" s="20"/>
      <c r="C161" s="52"/>
      <c r="D161" s="53"/>
      <c r="E161" s="53"/>
      <c r="F161" s="53"/>
      <c r="G161" s="33"/>
      <c r="H161" s="33"/>
      <c r="I161" s="11"/>
      <c r="J161" s="320"/>
      <c r="K161" s="320"/>
      <c r="L161" s="320"/>
      <c r="M161" s="320"/>
      <c r="N161" s="320"/>
      <c r="O161" s="320"/>
      <c r="T161" s="320"/>
      <c r="AD161" s="14"/>
      <c r="AE161" s="14"/>
      <c r="AF161" s="14"/>
      <c r="AG161" s="14"/>
      <c r="AH161" s="14"/>
    </row>
    <row r="162" spans="1:34" ht="35.25" customHeight="1" thickBot="1" x14ac:dyDescent="0.3">
      <c r="C162" s="50"/>
      <c r="D162" s="27"/>
      <c r="E162" s="39"/>
      <c r="F162" s="39"/>
      <c r="G162" s="225" t="s">
        <v>79</v>
      </c>
      <c r="H162" s="226"/>
      <c r="I162" s="143" t="str">
        <f>IFERROR((SUM(I152,I159)),"0")</f>
        <v>0</v>
      </c>
      <c r="J162" s="336"/>
      <c r="K162" s="336"/>
      <c r="L162" s="336"/>
      <c r="M162" s="336"/>
      <c r="N162" s="336"/>
      <c r="O162" s="336"/>
      <c r="T162" s="320"/>
      <c r="AD162" s="14"/>
      <c r="AE162" s="14"/>
      <c r="AF162" s="14"/>
      <c r="AG162" s="14"/>
      <c r="AH162" s="14"/>
    </row>
    <row r="163" spans="1:34" s="89" customFormat="1" ht="12" customHeight="1" x14ac:dyDescent="0.25">
      <c r="C163" s="50"/>
      <c r="D163" s="27"/>
      <c r="E163" s="97"/>
      <c r="F163" s="97"/>
      <c r="G163" s="115"/>
      <c r="H163" s="117"/>
      <c r="I163" s="118"/>
      <c r="J163" s="336"/>
      <c r="K163" s="336"/>
      <c r="L163" s="336"/>
      <c r="M163" s="336"/>
      <c r="N163" s="336"/>
      <c r="O163" s="336"/>
      <c r="P163" s="163"/>
      <c r="Q163" s="163"/>
      <c r="R163" s="163"/>
      <c r="S163" s="307"/>
      <c r="T163" s="320"/>
      <c r="U163" s="307"/>
      <c r="V163" s="307"/>
      <c r="W163" s="163"/>
      <c r="X163" s="163"/>
      <c r="Y163" s="163"/>
      <c r="Z163" s="163"/>
      <c r="AA163" s="163"/>
      <c r="AB163" s="160"/>
      <c r="AC163" s="95"/>
      <c r="AD163" s="92"/>
      <c r="AE163" s="92"/>
      <c r="AF163" s="92"/>
      <c r="AG163" s="92"/>
      <c r="AH163" s="92"/>
    </row>
    <row r="164" spans="1:34" s="89" customFormat="1" ht="56.25" hidden="1" customHeight="1" thickBot="1" x14ac:dyDescent="0.3">
      <c r="J164" s="336"/>
      <c r="K164" s="336"/>
      <c r="L164" s="336"/>
      <c r="M164" s="336"/>
      <c r="N164" s="336"/>
      <c r="O164" s="336"/>
      <c r="P164" s="163"/>
      <c r="Q164" s="163"/>
      <c r="R164" s="163"/>
      <c r="S164" s="307"/>
      <c r="T164" s="320"/>
      <c r="U164" s="307"/>
      <c r="V164" s="307"/>
      <c r="W164" s="163"/>
      <c r="X164" s="163"/>
      <c r="Y164" s="163"/>
      <c r="Z164" s="163"/>
      <c r="AA164" s="163"/>
      <c r="AB164" s="160"/>
      <c r="AC164" s="95"/>
      <c r="AD164" s="92"/>
      <c r="AE164" s="92"/>
      <c r="AF164" s="92"/>
      <c r="AG164" s="92"/>
      <c r="AH164" s="92"/>
    </row>
    <row r="165" spans="1:34" s="89" customFormat="1" ht="35.25" hidden="1" customHeight="1" thickBot="1" x14ac:dyDescent="0.3">
      <c r="J165" s="336"/>
      <c r="K165" s="336"/>
      <c r="L165" s="336"/>
      <c r="M165" s="336"/>
      <c r="N165" s="336"/>
      <c r="O165" s="336"/>
      <c r="P165" s="163"/>
      <c r="Q165" s="163"/>
      <c r="R165" s="163"/>
      <c r="S165" s="307"/>
      <c r="T165" s="320"/>
      <c r="U165" s="307"/>
      <c r="V165" s="307"/>
      <c r="W165" s="163"/>
      <c r="X165" s="163"/>
      <c r="Y165" s="163"/>
      <c r="Z165" s="163"/>
      <c r="AA165" s="163"/>
      <c r="AB165" s="160"/>
      <c r="AC165" s="95"/>
      <c r="AD165" s="92"/>
      <c r="AE165" s="92"/>
      <c r="AF165" s="92"/>
      <c r="AG165" s="92"/>
      <c r="AH165" s="92"/>
    </row>
    <row r="166" spans="1:34" s="20" customFormat="1" ht="21.75" hidden="1" customHeight="1" thickBot="1" x14ac:dyDescent="0.3">
      <c r="B166" s="1"/>
      <c r="J166" s="309"/>
      <c r="K166" s="309"/>
      <c r="L166" s="309"/>
      <c r="M166" s="309"/>
      <c r="N166" s="309"/>
      <c r="O166" s="309"/>
      <c r="P166" s="163"/>
      <c r="Q166" s="163"/>
      <c r="R166" s="163"/>
      <c r="S166" s="307"/>
      <c r="T166" s="320"/>
      <c r="U166" s="307"/>
      <c r="V166" s="307"/>
      <c r="W166" s="163"/>
      <c r="X166" s="163"/>
      <c r="Y166" s="163"/>
      <c r="Z166" s="163"/>
      <c r="AA166" s="163"/>
      <c r="AB166" s="160"/>
      <c r="AC166" s="26"/>
      <c r="AD166" s="25"/>
      <c r="AE166" s="25"/>
      <c r="AF166" s="25"/>
      <c r="AG166" s="25"/>
      <c r="AH166" s="25"/>
    </row>
    <row r="167" spans="1:34" s="89" customFormat="1" ht="21.75" hidden="1" customHeight="1" thickBot="1" x14ac:dyDescent="0.3">
      <c r="C167" s="23"/>
      <c r="G167" s="10"/>
      <c r="H167" s="7"/>
      <c r="I167" s="91"/>
      <c r="J167" s="309"/>
      <c r="K167" s="309"/>
      <c r="L167" s="309"/>
      <c r="M167" s="309"/>
      <c r="N167" s="309"/>
      <c r="O167" s="309"/>
      <c r="P167" s="163"/>
      <c r="Q167" s="163"/>
      <c r="R167" s="163"/>
      <c r="S167" s="307"/>
      <c r="T167" s="320"/>
      <c r="U167" s="307"/>
      <c r="V167" s="307"/>
      <c r="W167" s="163"/>
      <c r="X167" s="163"/>
      <c r="Y167" s="163"/>
      <c r="Z167" s="163"/>
      <c r="AA167" s="163"/>
      <c r="AB167" s="160"/>
      <c r="AC167" s="95"/>
      <c r="AD167" s="92"/>
      <c r="AE167" s="92"/>
      <c r="AF167" s="92"/>
      <c r="AG167" s="92"/>
      <c r="AH167" s="92"/>
    </row>
    <row r="168" spans="1:34" s="89" customFormat="1" ht="24" hidden="1" customHeight="1" x14ac:dyDescent="0.25">
      <c r="C168" s="23"/>
      <c r="J168" s="163"/>
      <c r="K168" s="309"/>
      <c r="L168" s="309"/>
      <c r="M168" s="309"/>
      <c r="N168" s="309"/>
      <c r="O168" s="309"/>
      <c r="P168" s="163"/>
      <c r="Q168" s="163"/>
      <c r="R168" s="163"/>
      <c r="S168" s="307"/>
      <c r="T168" s="320"/>
      <c r="U168" s="307"/>
      <c r="V168" s="307"/>
      <c r="W168" s="163"/>
      <c r="X168" s="163"/>
      <c r="Y168" s="163"/>
      <c r="Z168" s="163"/>
      <c r="AA168" s="163"/>
      <c r="AB168" s="160"/>
      <c r="AC168" s="95"/>
      <c r="AD168" s="92"/>
      <c r="AE168" s="92"/>
      <c r="AF168" s="92"/>
      <c r="AG168" s="92"/>
      <c r="AH168" s="92"/>
    </row>
    <row r="169" spans="1:34" s="20" customFormat="1" ht="23.25" customHeight="1" thickBot="1" x14ac:dyDescent="0.3">
      <c r="B169" s="1"/>
      <c r="C169" s="3"/>
      <c r="D169" s="3"/>
      <c r="E169" s="3"/>
      <c r="F169" s="3"/>
      <c r="G169" s="3"/>
      <c r="H169" s="3"/>
      <c r="I169" s="3"/>
      <c r="J169" s="309"/>
      <c r="K169" s="309"/>
      <c r="L169" s="309"/>
      <c r="M169" s="309"/>
      <c r="N169" s="309"/>
      <c r="O169" s="309"/>
      <c r="P169" s="163"/>
      <c r="Q169" s="163"/>
      <c r="R169" s="163"/>
      <c r="S169" s="163"/>
      <c r="T169" s="163">
        <v>81.06</v>
      </c>
      <c r="U169" s="163">
        <f>T169*X4</f>
        <v>95.584242586160826</v>
      </c>
      <c r="V169" s="163"/>
      <c r="W169" s="163"/>
      <c r="X169" s="163"/>
      <c r="Y169" s="163"/>
      <c r="Z169" s="163"/>
      <c r="AA169" s="163"/>
      <c r="AB169" s="160"/>
      <c r="AC169" s="26"/>
      <c r="AD169" s="25"/>
      <c r="AE169" s="25"/>
      <c r="AF169" s="25"/>
      <c r="AG169" s="25"/>
      <c r="AH169" s="25"/>
    </row>
    <row r="170" spans="1:34" ht="16.5" customHeight="1" thickBot="1" x14ac:dyDescent="0.4">
      <c r="C170" s="205" t="s">
        <v>0</v>
      </c>
      <c r="D170" s="206"/>
      <c r="E170" s="206"/>
      <c r="F170" s="206"/>
      <c r="G170" s="206"/>
      <c r="H170" s="206"/>
      <c r="I170" s="207"/>
      <c r="J170" s="306" t="s">
        <v>21</v>
      </c>
      <c r="K170" s="337"/>
      <c r="L170" s="337"/>
      <c r="M170" s="337"/>
      <c r="N170" s="337"/>
      <c r="O170" s="337"/>
      <c r="S170" s="163"/>
      <c r="T170" s="163">
        <v>60.79</v>
      </c>
      <c r="U170" s="163">
        <f>T170*X4</f>
        <v>71.682286045061886</v>
      </c>
      <c r="V170" s="163"/>
      <c r="AD170" s="14"/>
      <c r="AE170" s="14"/>
      <c r="AF170" s="14"/>
      <c r="AG170" s="14"/>
      <c r="AH170" s="14"/>
    </row>
    <row r="171" spans="1:34" ht="24" customHeight="1" x14ac:dyDescent="0.25">
      <c r="C171" s="40" t="s">
        <v>1</v>
      </c>
      <c r="D171" s="22"/>
      <c r="E171" s="22"/>
      <c r="F171" s="22"/>
      <c r="G171" s="304">
        <f>U169</f>
        <v>95.584242586160826</v>
      </c>
      <c r="H171" s="30" t="s">
        <v>2</v>
      </c>
      <c r="I171" s="45">
        <f>J171*G171</f>
        <v>0</v>
      </c>
      <c r="J171" s="339"/>
      <c r="K171" s="309"/>
      <c r="L171" s="309"/>
      <c r="M171" s="309"/>
      <c r="N171" s="309"/>
      <c r="O171" s="309"/>
      <c r="S171" s="163"/>
      <c r="T171" s="163"/>
      <c r="U171" s="163"/>
      <c r="V171" s="163"/>
      <c r="AD171" s="14"/>
      <c r="AE171" s="14"/>
      <c r="AF171" s="14"/>
      <c r="AG171" s="14"/>
      <c r="AH171" s="14"/>
    </row>
    <row r="172" spans="1:34" ht="23.25" customHeight="1" thickBot="1" x14ac:dyDescent="0.3">
      <c r="C172" s="41" t="s">
        <v>3</v>
      </c>
      <c r="D172" s="5"/>
      <c r="E172" s="5"/>
      <c r="F172" s="5"/>
      <c r="G172" s="24">
        <f>U170</f>
        <v>71.682286045061886</v>
      </c>
      <c r="H172" s="6" t="s">
        <v>2</v>
      </c>
      <c r="I172" s="46">
        <f>J172*G172</f>
        <v>0</v>
      </c>
      <c r="J172" s="340"/>
      <c r="K172" s="309"/>
      <c r="L172" s="309"/>
      <c r="M172" s="309"/>
      <c r="N172" s="309"/>
      <c r="O172" s="309"/>
      <c r="P172" s="93"/>
      <c r="T172" s="320"/>
      <c r="Y172" s="13"/>
      <c r="AD172" s="14"/>
      <c r="AE172" s="14"/>
      <c r="AF172" s="14"/>
      <c r="AG172" s="14"/>
      <c r="AH172" s="14"/>
    </row>
    <row r="173" spans="1:34" ht="22.5" customHeight="1" thickBot="1" x14ac:dyDescent="0.3">
      <c r="C173" s="57" t="s">
        <v>14</v>
      </c>
      <c r="D173" s="54"/>
      <c r="E173" s="54"/>
      <c r="F173" s="54"/>
      <c r="G173" s="55" t="s">
        <v>15</v>
      </c>
      <c r="H173" s="56"/>
      <c r="I173" s="74"/>
      <c r="J173" s="309"/>
      <c r="K173" s="309"/>
      <c r="L173" s="309"/>
      <c r="M173" s="309"/>
      <c r="N173" s="309"/>
      <c r="O173" s="309"/>
      <c r="P173" s="93"/>
      <c r="T173" s="320"/>
      <c r="Y173" s="13"/>
      <c r="AD173" s="14"/>
      <c r="AE173" s="14"/>
      <c r="AF173" s="14"/>
      <c r="AG173" s="14"/>
      <c r="AH173" s="14"/>
    </row>
    <row r="174" spans="1:34" ht="25.5" customHeight="1" x14ac:dyDescent="0.25">
      <c r="C174" s="3"/>
      <c r="D174" s="3"/>
      <c r="E174" s="3"/>
      <c r="F174" s="3"/>
      <c r="G174" s="31"/>
      <c r="H174" s="32"/>
      <c r="I174" s="17"/>
      <c r="J174" s="309"/>
      <c r="K174" s="309"/>
      <c r="L174" s="309"/>
      <c r="M174" s="309"/>
      <c r="N174" s="309"/>
      <c r="O174" s="309"/>
      <c r="P174" s="93"/>
      <c r="T174" s="320"/>
      <c r="Y174" s="13"/>
      <c r="AD174" s="14"/>
      <c r="AE174" s="14"/>
      <c r="AF174" s="14"/>
      <c r="AG174" s="14"/>
      <c r="AH174" s="14"/>
    </row>
    <row r="175" spans="1:34" ht="16.5" thickBot="1" x14ac:dyDescent="0.3">
      <c r="C175" s="3"/>
      <c r="D175" s="3"/>
      <c r="E175" s="3"/>
      <c r="F175" s="3"/>
      <c r="G175" s="31"/>
      <c r="H175" s="32"/>
      <c r="I175" s="17"/>
      <c r="J175" s="309"/>
      <c r="K175" s="309"/>
      <c r="L175" s="309"/>
      <c r="M175" s="309"/>
      <c r="N175" s="309"/>
      <c r="O175" s="309"/>
      <c r="T175" s="320"/>
      <c r="AD175" s="14"/>
      <c r="AE175" s="14"/>
      <c r="AF175" s="14"/>
      <c r="AG175" s="14"/>
      <c r="AH175" s="14"/>
    </row>
    <row r="176" spans="1:34" ht="29.25" customHeight="1" thickBot="1" x14ac:dyDescent="0.3">
      <c r="A176" s="1"/>
      <c r="C176" s="58"/>
      <c r="D176" s="58"/>
      <c r="E176" s="58"/>
      <c r="F176" s="58"/>
      <c r="G176" s="225" t="s">
        <v>81</v>
      </c>
      <c r="H176" s="244"/>
      <c r="I176" s="145">
        <f>I171+I172+I173</f>
        <v>0</v>
      </c>
      <c r="J176" s="309"/>
      <c r="K176" s="309"/>
      <c r="L176" s="309"/>
      <c r="M176" s="309"/>
      <c r="N176" s="309"/>
      <c r="O176" s="309"/>
      <c r="T176" s="320"/>
      <c r="AD176" s="14"/>
      <c r="AE176" s="14"/>
      <c r="AF176" s="14"/>
      <c r="AG176" s="14"/>
      <c r="AH176" s="14"/>
    </row>
    <row r="177" spans="1:34" s="89" customFormat="1" ht="16.5" thickBot="1" x14ac:dyDescent="0.3">
      <c r="C177" s="58"/>
      <c r="D177" s="58"/>
      <c r="E177" s="58"/>
      <c r="F177" s="58"/>
      <c r="G177" s="115"/>
      <c r="H177" s="114"/>
      <c r="I177" s="116"/>
      <c r="J177" s="309"/>
      <c r="K177" s="309"/>
      <c r="L177" s="309"/>
      <c r="M177" s="309"/>
      <c r="N177" s="309"/>
      <c r="O177" s="309"/>
      <c r="P177" s="163"/>
      <c r="Q177" s="163"/>
      <c r="R177" s="163"/>
      <c r="S177" s="307"/>
      <c r="T177" s="320"/>
      <c r="U177" s="307"/>
      <c r="V177" s="307"/>
      <c r="W177" s="163"/>
      <c r="X177" s="163"/>
      <c r="Y177" s="163"/>
      <c r="Z177" s="163"/>
      <c r="AA177" s="163"/>
      <c r="AB177" s="160"/>
      <c r="AC177" s="95"/>
      <c r="AD177" s="92"/>
      <c r="AE177" s="92"/>
      <c r="AF177" s="92"/>
      <c r="AG177" s="92"/>
      <c r="AH177" s="92"/>
    </row>
    <row r="178" spans="1:34" s="89" customFormat="1" ht="21.75" thickBot="1" x14ac:dyDescent="0.4">
      <c r="C178" s="58"/>
      <c r="D178" s="58"/>
      <c r="E178" s="58"/>
      <c r="F178" s="58"/>
      <c r="G178" s="66" t="s">
        <v>46</v>
      </c>
      <c r="H178" s="195">
        <f>SUM(I128+I162+I176)</f>
        <v>0</v>
      </c>
      <c r="I178" s="196"/>
      <c r="J178" s="309"/>
      <c r="K178" s="309"/>
      <c r="L178" s="309"/>
      <c r="M178" s="309"/>
      <c r="N178" s="309"/>
      <c r="O178" s="309"/>
      <c r="P178" s="163"/>
      <c r="Q178" s="163"/>
      <c r="R178" s="163"/>
      <c r="S178" s="307"/>
      <c r="T178" s="320"/>
      <c r="U178" s="307"/>
      <c r="V178" s="307"/>
      <c r="W178" s="163"/>
      <c r="X178" s="163"/>
      <c r="Y178" s="163"/>
      <c r="Z178" s="163"/>
      <c r="AA178" s="163"/>
      <c r="AB178" s="160"/>
      <c r="AC178" s="95"/>
      <c r="AD178" s="92"/>
      <c r="AE178" s="92"/>
      <c r="AF178" s="92"/>
      <c r="AG178" s="92"/>
      <c r="AH178" s="92"/>
    </row>
    <row r="179" spans="1:34" s="89" customFormat="1" x14ac:dyDescent="0.25">
      <c r="J179" s="309"/>
      <c r="K179" s="309"/>
      <c r="L179" s="309"/>
      <c r="M179" s="309"/>
      <c r="N179" s="309"/>
      <c r="O179" s="309"/>
      <c r="P179" s="163"/>
      <c r="Q179" s="163"/>
      <c r="R179" s="163"/>
      <c r="S179" s="307"/>
      <c r="T179" s="320"/>
      <c r="U179" s="307"/>
      <c r="V179" s="307"/>
      <c r="W179" s="163"/>
      <c r="X179" s="163"/>
      <c r="Y179" s="163"/>
      <c r="Z179" s="163"/>
      <c r="AA179" s="163"/>
      <c r="AB179" s="160"/>
      <c r="AC179" s="95"/>
      <c r="AD179" s="92"/>
      <c r="AE179" s="92"/>
      <c r="AF179" s="92"/>
      <c r="AG179" s="92"/>
      <c r="AH179" s="92"/>
    </row>
    <row r="180" spans="1:34" x14ac:dyDescent="0.25">
      <c r="A180" s="1"/>
      <c r="C180" s="9"/>
      <c r="D180" s="9"/>
      <c r="E180" s="9"/>
      <c r="F180" s="9"/>
      <c r="G180" s="9"/>
      <c r="H180" s="9"/>
      <c r="I180" s="3"/>
      <c r="J180" s="309"/>
      <c r="K180" s="309"/>
      <c r="L180" s="309"/>
      <c r="M180" s="309"/>
      <c r="N180" s="309"/>
      <c r="O180" s="309"/>
      <c r="T180" s="320"/>
      <c r="AD180" s="14"/>
      <c r="AE180" s="14"/>
      <c r="AF180" s="14"/>
      <c r="AG180" s="14"/>
      <c r="AH180" s="14"/>
    </row>
    <row r="181" spans="1:34" ht="15.75" customHeight="1" x14ac:dyDescent="0.3">
      <c r="A181" s="1"/>
      <c r="C181" s="42" t="s">
        <v>24</v>
      </c>
      <c r="D181" s="9"/>
      <c r="E181" s="9"/>
      <c r="F181" s="9"/>
      <c r="G181" s="9"/>
      <c r="H181" s="9"/>
      <c r="I181" s="3"/>
      <c r="J181" s="309"/>
      <c r="K181" s="309"/>
      <c r="L181" s="309"/>
      <c r="M181" s="309"/>
      <c r="N181" s="309"/>
      <c r="O181" s="309"/>
      <c r="T181" s="320"/>
      <c r="AD181" s="14"/>
      <c r="AE181" s="14"/>
      <c r="AF181" s="14"/>
      <c r="AG181" s="14"/>
      <c r="AH181" s="14"/>
    </row>
    <row r="182" spans="1:34" ht="16.5" thickBot="1" x14ac:dyDescent="0.3">
      <c r="A182" s="1"/>
      <c r="J182" s="309"/>
      <c r="K182" s="309"/>
      <c r="L182" s="309"/>
      <c r="M182" s="309"/>
      <c r="N182" s="309"/>
      <c r="O182" s="309"/>
      <c r="P182" s="13"/>
      <c r="T182" s="320"/>
      <c r="AD182" s="14"/>
      <c r="AE182" s="14"/>
      <c r="AF182" s="14"/>
      <c r="AG182" s="14"/>
      <c r="AH182" s="14"/>
    </row>
    <row r="183" spans="1:34" ht="16.5" thickBot="1" x14ac:dyDescent="0.3">
      <c r="A183" s="1"/>
      <c r="C183" s="250" t="s">
        <v>22</v>
      </c>
      <c r="D183" s="251"/>
      <c r="E183" s="251"/>
      <c r="F183" s="251"/>
      <c r="G183" s="251"/>
      <c r="H183" s="251"/>
      <c r="I183" s="252"/>
      <c r="P183" s="13"/>
      <c r="T183" s="320"/>
      <c r="AD183" s="14"/>
      <c r="AE183" s="14"/>
      <c r="AF183" s="14"/>
      <c r="AG183" s="14"/>
      <c r="AH183" s="14"/>
    </row>
    <row r="184" spans="1:34" ht="16.5" thickBot="1" x14ac:dyDescent="0.3">
      <c r="A184" s="1"/>
      <c r="C184" s="230" t="s">
        <v>29</v>
      </c>
      <c r="D184" s="231"/>
      <c r="E184" s="231"/>
      <c r="F184" s="231"/>
      <c r="G184" s="231"/>
      <c r="H184" s="231"/>
      <c r="I184" s="232"/>
      <c r="T184" s="320"/>
      <c r="AD184" s="14"/>
      <c r="AE184" s="14"/>
      <c r="AF184" s="14"/>
      <c r="AG184" s="14"/>
      <c r="AH184" s="14"/>
    </row>
    <row r="185" spans="1:34" ht="16.5" thickBot="1" x14ac:dyDescent="0.3">
      <c r="A185" s="1"/>
      <c r="C185" s="48" t="s">
        <v>16</v>
      </c>
      <c r="D185" s="233" t="s">
        <v>12</v>
      </c>
      <c r="E185" s="234"/>
      <c r="F185" s="249" t="s">
        <v>13</v>
      </c>
      <c r="G185" s="249"/>
      <c r="H185" s="47" t="s">
        <v>17</v>
      </c>
      <c r="I185" s="49"/>
      <c r="T185" s="320"/>
      <c r="V185" s="329"/>
    </row>
    <row r="186" spans="1:34" ht="57.75" customHeight="1" x14ac:dyDescent="0.25">
      <c r="A186" s="1"/>
      <c r="C186" s="68"/>
      <c r="D186" s="239" t="s">
        <v>77</v>
      </c>
      <c r="E186" s="240"/>
      <c r="F186" s="247" t="s">
        <v>102</v>
      </c>
      <c r="G186" s="248"/>
      <c r="H186" s="133" t="s">
        <v>101</v>
      </c>
      <c r="I186" s="110" t="str">
        <f>IF($C186="x", T186,"")</f>
        <v/>
      </c>
      <c r="T186" s="320">
        <f t="shared" ref="T186:T188" si="2">ROUND(U186*$U$1,2)</f>
        <v>373.5</v>
      </c>
      <c r="U186" s="307">
        <v>2075</v>
      </c>
      <c r="V186" s="307" t="s">
        <v>94</v>
      </c>
      <c r="W186" s="163">
        <v>15779</v>
      </c>
      <c r="X186" s="163">
        <f>W186*X13</f>
        <v>18606.264048445988</v>
      </c>
    </row>
    <row r="187" spans="1:34" ht="117" customHeight="1" thickBot="1" x14ac:dyDescent="0.3">
      <c r="A187" s="1"/>
      <c r="C187" s="77"/>
      <c r="D187" s="237" t="s">
        <v>78</v>
      </c>
      <c r="E187" s="238"/>
      <c r="F187" s="245" t="s">
        <v>103</v>
      </c>
      <c r="G187" s="246"/>
      <c r="H187" s="134" t="s">
        <v>18</v>
      </c>
      <c r="I187" s="132" t="str">
        <f>IF($C187="x", T187,"")</f>
        <v/>
      </c>
      <c r="Q187" s="13"/>
      <c r="R187" s="13"/>
      <c r="T187" s="320">
        <f t="shared" si="2"/>
        <v>801</v>
      </c>
      <c r="U187" s="307">
        <v>4450</v>
      </c>
      <c r="V187" s="307" t="s">
        <v>94</v>
      </c>
      <c r="W187" s="13">
        <v>63115</v>
      </c>
      <c r="X187" s="163">
        <f>W187*X13</f>
        <v>74423.877014872196</v>
      </c>
    </row>
    <row r="188" spans="1:34" ht="130.5" customHeight="1" thickBot="1" x14ac:dyDescent="0.3">
      <c r="A188" s="1"/>
      <c r="C188" s="77"/>
      <c r="D188" s="237" t="s">
        <v>52</v>
      </c>
      <c r="E188" s="238"/>
      <c r="F188" s="245" t="s">
        <v>99</v>
      </c>
      <c r="G188" s="246"/>
      <c r="H188" s="134" t="s">
        <v>104</v>
      </c>
      <c r="I188" s="132" t="str">
        <f>IF($C188="x", T188,"")</f>
        <v/>
      </c>
      <c r="T188" s="320">
        <f t="shared" si="2"/>
        <v>590.4</v>
      </c>
      <c r="U188" s="307">
        <v>3280</v>
      </c>
      <c r="W188" s="13"/>
      <c r="X188" s="13"/>
      <c r="AC188" s="1"/>
    </row>
    <row r="189" spans="1:34" ht="33" customHeight="1" thickBot="1" x14ac:dyDescent="0.3">
      <c r="A189" s="1"/>
      <c r="C189" s="78"/>
      <c r="D189" s="75"/>
      <c r="E189" s="75"/>
      <c r="F189" s="75"/>
      <c r="G189" s="75"/>
      <c r="H189" s="76"/>
      <c r="I189" s="11"/>
      <c r="T189" s="320"/>
      <c r="W189" s="13"/>
      <c r="X189" s="13"/>
      <c r="AC189" s="1"/>
    </row>
    <row r="190" spans="1:34" ht="25.5" customHeight="1" thickBot="1" x14ac:dyDescent="0.3">
      <c r="A190" s="1"/>
      <c r="C190" s="79"/>
      <c r="D190" s="79"/>
      <c r="E190" s="79"/>
      <c r="F190" s="79"/>
      <c r="G190" s="225" t="s">
        <v>23</v>
      </c>
      <c r="H190" s="241"/>
      <c r="I190" s="146">
        <f>SUM(I186:I188)</f>
        <v>0</v>
      </c>
      <c r="X190" s="13"/>
      <c r="AC190" s="1"/>
    </row>
    <row r="191" spans="1:34" x14ac:dyDescent="0.25">
      <c r="A191" s="1"/>
      <c r="C191" s="3"/>
      <c r="D191" s="235"/>
      <c r="E191" s="235"/>
      <c r="F191" s="235"/>
      <c r="G191" s="236"/>
      <c r="H191" s="236"/>
      <c r="I191" s="236"/>
      <c r="T191" s="338"/>
      <c r="AC191" s="1"/>
    </row>
    <row r="192" spans="1:34" ht="16.5" thickBot="1" x14ac:dyDescent="0.3">
      <c r="A192" s="1"/>
      <c r="AC192" s="1"/>
    </row>
    <row r="193" spans="1:29" ht="52.5" customHeight="1" thickBot="1" x14ac:dyDescent="0.3">
      <c r="A193" s="1"/>
      <c r="C193" s="89"/>
      <c r="D193" s="89"/>
      <c r="E193" s="89"/>
      <c r="F193" s="89"/>
      <c r="G193" s="176" t="s">
        <v>46</v>
      </c>
      <c r="H193" s="177"/>
      <c r="I193" s="140">
        <f>SUM(I128+I162+I176+I190)</f>
        <v>0</v>
      </c>
      <c r="AC193" s="1"/>
    </row>
    <row r="195" spans="1:29" x14ac:dyDescent="0.25">
      <c r="C195" s="1" t="s">
        <v>86</v>
      </c>
    </row>
  </sheetData>
  <sheetProtection password="CFB9" sheet="1" objects="1" scenarios="1" selectLockedCells="1"/>
  <mergeCells count="133">
    <mergeCell ref="D144:H144"/>
    <mergeCell ref="D145:H145"/>
    <mergeCell ref="D146:H146"/>
    <mergeCell ref="D147:H147"/>
    <mergeCell ref="D115:F115"/>
    <mergeCell ref="D116:G116"/>
    <mergeCell ref="D117:H117"/>
    <mergeCell ref="E110:H110"/>
    <mergeCell ref="C111:H111"/>
    <mergeCell ref="G120:H120"/>
    <mergeCell ref="J21:P21"/>
    <mergeCell ref="J20:P20"/>
    <mergeCell ref="D40:H40"/>
    <mergeCell ref="D54:H54"/>
    <mergeCell ref="D50:I50"/>
    <mergeCell ref="D52:H52"/>
    <mergeCell ref="D53:H53"/>
    <mergeCell ref="J19:P19"/>
    <mergeCell ref="J18:P18"/>
    <mergeCell ref="J17:P17"/>
    <mergeCell ref="D135:H135"/>
    <mergeCell ref="D46:H46"/>
    <mergeCell ref="D77:H77"/>
    <mergeCell ref="C81:H81"/>
    <mergeCell ref="D87:H87"/>
    <mergeCell ref="C91:H91"/>
    <mergeCell ref="C42:I42"/>
    <mergeCell ref="D107:H107"/>
    <mergeCell ref="D61:G61"/>
    <mergeCell ref="D62:F62"/>
    <mergeCell ref="D63:F63"/>
    <mergeCell ref="D64:F64"/>
    <mergeCell ref="D65:G65"/>
    <mergeCell ref="E59:H59"/>
    <mergeCell ref="D142:H142"/>
    <mergeCell ref="C51:H51"/>
    <mergeCell ref="D66:H66"/>
    <mergeCell ref="C60:H60"/>
    <mergeCell ref="D39:H39"/>
    <mergeCell ref="F3:I3"/>
    <mergeCell ref="F4:I4"/>
    <mergeCell ref="D27:H27"/>
    <mergeCell ref="D28:H28"/>
    <mergeCell ref="D25:H25"/>
    <mergeCell ref="C26:H26"/>
    <mergeCell ref="D29:H29"/>
    <mergeCell ref="D35:H35"/>
    <mergeCell ref="D48:H48"/>
    <mergeCell ref="D33:H33"/>
    <mergeCell ref="D34:H34"/>
    <mergeCell ref="D47:H47"/>
    <mergeCell ref="D31:I31"/>
    <mergeCell ref="D44:I44"/>
    <mergeCell ref="C17:H17"/>
    <mergeCell ref="C18:H18"/>
    <mergeCell ref="C19:H19"/>
    <mergeCell ref="C20:H20"/>
    <mergeCell ref="C21:H21"/>
    <mergeCell ref="C32:H32"/>
    <mergeCell ref="C45:H45"/>
    <mergeCell ref="C22:H22"/>
    <mergeCell ref="D37:I37"/>
    <mergeCell ref="C38:H38"/>
    <mergeCell ref="C184:I184"/>
    <mergeCell ref="D185:E185"/>
    <mergeCell ref="D191:I191"/>
    <mergeCell ref="D187:E187"/>
    <mergeCell ref="D186:E186"/>
    <mergeCell ref="C148:H148"/>
    <mergeCell ref="D137:H137"/>
    <mergeCell ref="D138:H138"/>
    <mergeCell ref="G190:H190"/>
    <mergeCell ref="C159:H159"/>
    <mergeCell ref="G162:H162"/>
    <mergeCell ref="G176:H176"/>
    <mergeCell ref="D139:H139"/>
    <mergeCell ref="D140:H140"/>
    <mergeCell ref="F188:G188"/>
    <mergeCell ref="D188:E188"/>
    <mergeCell ref="F187:G187"/>
    <mergeCell ref="F186:G186"/>
    <mergeCell ref="F185:G185"/>
    <mergeCell ref="C183:I183"/>
    <mergeCell ref="C157:H157"/>
    <mergeCell ref="D151:H151"/>
    <mergeCell ref="C170:I170"/>
    <mergeCell ref="D158:H158"/>
    <mergeCell ref="E70:H70"/>
    <mergeCell ref="D97:H97"/>
    <mergeCell ref="C101:H101"/>
    <mergeCell ref="C71:H71"/>
    <mergeCell ref="D72:G72"/>
    <mergeCell ref="D73:F73"/>
    <mergeCell ref="D74:F74"/>
    <mergeCell ref="D75:F75"/>
    <mergeCell ref="D76:G76"/>
    <mergeCell ref="E80:H80"/>
    <mergeCell ref="D82:G82"/>
    <mergeCell ref="D83:F83"/>
    <mergeCell ref="G123:H123"/>
    <mergeCell ref="C122:I122"/>
    <mergeCell ref="C152:H152"/>
    <mergeCell ref="D156:H156"/>
    <mergeCell ref="G126:H126"/>
    <mergeCell ref="C132:I132"/>
    <mergeCell ref="G128:H128"/>
    <mergeCell ref="D112:G112"/>
    <mergeCell ref="D113:F113"/>
    <mergeCell ref="D114:F114"/>
    <mergeCell ref="G193:H193"/>
    <mergeCell ref="D84:F84"/>
    <mergeCell ref="D85:F85"/>
    <mergeCell ref="D103:F103"/>
    <mergeCell ref="D104:F104"/>
    <mergeCell ref="D105:F105"/>
    <mergeCell ref="D106:G106"/>
    <mergeCell ref="D86:G86"/>
    <mergeCell ref="E90:H90"/>
    <mergeCell ref="D92:G92"/>
    <mergeCell ref="D93:F93"/>
    <mergeCell ref="D94:F94"/>
    <mergeCell ref="D95:F95"/>
    <mergeCell ref="D96:G96"/>
    <mergeCell ref="E100:H100"/>
    <mergeCell ref="D102:G102"/>
    <mergeCell ref="C150:H150"/>
    <mergeCell ref="C149:H149"/>
    <mergeCell ref="D153:H153"/>
    <mergeCell ref="C133:H133"/>
    <mergeCell ref="H178:I178"/>
    <mergeCell ref="C136:H136"/>
    <mergeCell ref="C143:H143"/>
    <mergeCell ref="D134:I134"/>
  </mergeCells>
  <conditionalFormatting sqref="C61:C65 I61:O65 I171:I172 J134:O135 I158">
    <cfRule type="cellIs" dxfId="11" priority="21" operator="equal">
      <formula>0</formula>
    </cfRule>
  </conditionalFormatting>
  <conditionalFormatting sqref="I33:O34 I46:O47 I52:O53">
    <cfRule type="cellIs" dxfId="10" priority="20" operator="equal">
      <formula>0</formula>
    </cfRule>
  </conditionalFormatting>
  <conditionalFormatting sqref="I39:O39">
    <cfRule type="cellIs" dxfId="9" priority="16" operator="equal">
      <formula>0</formula>
    </cfRule>
  </conditionalFormatting>
  <conditionalFormatting sqref="I73:I76">
    <cfRule type="cellIs" dxfId="8" priority="15" operator="equal">
      <formula>0</formula>
    </cfRule>
  </conditionalFormatting>
  <conditionalFormatting sqref="I82:I86">
    <cfRule type="cellIs" dxfId="7" priority="14" operator="equal">
      <formula>0</formula>
    </cfRule>
  </conditionalFormatting>
  <conditionalFormatting sqref="I92:I96">
    <cfRule type="cellIs" dxfId="6" priority="13" operator="equal">
      <formula>0</formula>
    </cfRule>
  </conditionalFormatting>
  <conditionalFormatting sqref="I102:I106">
    <cfRule type="cellIs" dxfId="5" priority="12" operator="equal">
      <formula>0</formula>
    </cfRule>
  </conditionalFormatting>
  <conditionalFormatting sqref="C82:C86">
    <cfRule type="cellIs" dxfId="4" priority="10" operator="equal">
      <formula>0</formula>
    </cfRule>
  </conditionalFormatting>
  <conditionalFormatting sqref="C72:C76">
    <cfRule type="cellIs" dxfId="3" priority="6" operator="equal">
      <formula>0</formula>
    </cfRule>
  </conditionalFormatting>
  <conditionalFormatting sqref="C92:C96">
    <cfRule type="cellIs" dxfId="2" priority="5" operator="equal">
      <formula>0</formula>
    </cfRule>
  </conditionalFormatting>
  <conditionalFormatting sqref="C102:C106">
    <cfRule type="cellIs" dxfId="1" priority="2" operator="equal">
      <formula>0</formula>
    </cfRule>
  </conditionalFormatting>
  <conditionalFormatting sqref="I72">
    <cfRule type="cellIs" dxfId="0" priority="1" operator="equal">
      <formula>0</formula>
    </cfRule>
  </conditionalFormatting>
  <dataValidations count="1">
    <dataValidation type="custom" allowBlank="1" showInputMessage="1" showErrorMessage="1" error="Vous pouvez uniquement encoder x ou rien" sqref="C27:C28">
      <formula1>B2</formula1>
    </dataValidation>
  </dataValidations>
  <pageMargins left="0.23622047244094491" right="0.23622047244094491" top="0" bottom="0" header="0" footer="0"/>
  <pageSetup paperSize="8" scale="40" fitToHeight="0" orientation="portrait" r:id="rId1"/>
  <headerFooter alignWithMargins="0"/>
  <rowBreaks count="1" manualBreakCount="1">
    <brk id="161" min="1" max="24" man="1"/>
  </rowBreaks>
  <colBreaks count="1" manualBreakCount="1">
    <brk id="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prépa-distri-stockage</vt:lpstr>
      <vt:lpstr>'prépa-distri-stockage'!Impression_des_titres</vt:lpstr>
      <vt:lpstr>'prépa-distri-stockage'!Zone_d_impression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Tom Henrotte</cp:lastModifiedBy>
  <cp:lastPrinted>2023-12-19T15:27:02Z</cp:lastPrinted>
  <dcterms:created xsi:type="dcterms:W3CDTF">1996-10-21T11:03:58Z</dcterms:created>
  <dcterms:modified xsi:type="dcterms:W3CDTF">2025-01-15T17:07:46Z</dcterms:modified>
</cp:coreProperties>
</file>